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Resubmission/Source data/"/>
    </mc:Choice>
  </mc:AlternateContent>
  <xr:revisionPtr revIDLastSave="0" documentId="13_ncr:1_{C6FB850F-4D8E-5841-8041-07495E553295}" xr6:coauthVersionLast="36" xr6:coauthVersionMax="36" xr10:uidLastSave="{00000000-0000-0000-0000-000000000000}"/>
  <bookViews>
    <workbookView xWindow="1560" yWindow="1080" windowWidth="23140" windowHeight="15980" xr2:uid="{B4BE65C8-2B46-E84A-9592-57B04C9F0791}"/>
  </bookViews>
  <sheets>
    <sheet name="Figure 5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8" i="2" l="1"/>
  <c r="B107" i="2"/>
  <c r="B106" i="2"/>
  <c r="B112" i="2"/>
  <c r="B111" i="2"/>
  <c r="B110" i="2"/>
  <c r="B114" i="2"/>
  <c r="B113" i="2"/>
  <c r="B104" i="2"/>
  <c r="H78" i="2"/>
  <c r="H77" i="2"/>
  <c r="H76" i="2"/>
  <c r="H75" i="2"/>
  <c r="H72" i="2"/>
  <c r="H71" i="2"/>
  <c r="H74" i="2"/>
  <c r="H73" i="2"/>
  <c r="E78" i="2"/>
  <c r="E77" i="2"/>
  <c r="E76" i="2"/>
  <c r="E74" i="2"/>
  <c r="E73" i="2"/>
  <c r="E71" i="2"/>
  <c r="E72" i="2"/>
  <c r="E75" i="2"/>
  <c r="H68" i="2"/>
  <c r="H67" i="2"/>
  <c r="H66" i="2"/>
  <c r="H65" i="2"/>
  <c r="E66" i="2"/>
  <c r="E68" i="2"/>
  <c r="E67" i="2"/>
  <c r="E65" i="2"/>
  <c r="I63" i="2"/>
  <c r="I61" i="2"/>
  <c r="H64" i="2"/>
  <c r="H63" i="2"/>
  <c r="H62" i="2"/>
  <c r="H61" i="2"/>
  <c r="F63" i="2"/>
  <c r="E64" i="2"/>
  <c r="E63" i="2"/>
  <c r="F61" i="2"/>
  <c r="E62" i="2"/>
  <c r="E61" i="2"/>
  <c r="I67" i="2"/>
  <c r="J67" i="2" s="1"/>
  <c r="F67" i="2"/>
  <c r="I65" i="2"/>
  <c r="J65" i="2" s="1"/>
  <c r="F65" i="2"/>
  <c r="I77" i="2"/>
  <c r="J77" i="2" s="1"/>
  <c r="F77" i="2"/>
  <c r="K77" i="2" l="1"/>
  <c r="K65" i="2"/>
  <c r="K67" i="2"/>
  <c r="B109" i="2" l="1"/>
  <c r="B105" i="2"/>
  <c r="B103" i="2"/>
  <c r="B102" i="2"/>
  <c r="H13" i="2"/>
  <c r="E13" i="2"/>
  <c r="I12" i="2"/>
  <c r="J12" i="2" s="1"/>
  <c r="K12" i="2" s="1"/>
  <c r="H12" i="2"/>
  <c r="F12" i="2"/>
  <c r="E12" i="2"/>
  <c r="H11" i="2"/>
  <c r="E11" i="2"/>
  <c r="I10" i="2"/>
  <c r="J10" i="2" s="1"/>
  <c r="K10" i="2" s="1"/>
  <c r="H10" i="2"/>
  <c r="F10" i="2"/>
  <c r="E10" i="2"/>
  <c r="H9" i="2"/>
  <c r="E9" i="2"/>
  <c r="I8" i="2"/>
  <c r="J8" i="2" s="1"/>
  <c r="K8" i="2" s="1"/>
  <c r="H8" i="2"/>
  <c r="F8" i="2"/>
  <c r="E8" i="2"/>
  <c r="H7" i="2"/>
  <c r="E7" i="2"/>
  <c r="J6" i="2"/>
  <c r="K6" i="2" s="1"/>
  <c r="I6" i="2"/>
  <c r="H6" i="2"/>
  <c r="F6" i="2"/>
  <c r="E6" i="2"/>
  <c r="H5" i="2"/>
  <c r="E5" i="2"/>
  <c r="I4" i="2"/>
  <c r="J4" i="2" s="1"/>
  <c r="K4" i="2" s="1"/>
  <c r="H4" i="2"/>
  <c r="F4" i="2"/>
  <c r="E4" i="2"/>
  <c r="H3" i="2"/>
  <c r="E3" i="2"/>
  <c r="I2" i="2"/>
  <c r="J2" i="2" s="1"/>
  <c r="H2" i="2"/>
  <c r="F2" i="2"/>
  <c r="E2" i="2"/>
  <c r="K2" i="2" l="1"/>
  <c r="M2" i="2"/>
  <c r="L2" i="2"/>
  <c r="H50" i="2" l="1"/>
  <c r="I49" i="2"/>
  <c r="J49" i="2" s="1"/>
  <c r="H49" i="2"/>
  <c r="F49" i="2"/>
  <c r="E49" i="2"/>
  <c r="H48" i="2"/>
  <c r="I47" i="2"/>
  <c r="J47" i="2" s="1"/>
  <c r="H47" i="2"/>
  <c r="F47" i="2"/>
  <c r="H31" i="2"/>
  <c r="E31" i="2"/>
  <c r="I30" i="2"/>
  <c r="J30" i="2" s="1"/>
  <c r="K30" i="2" s="1"/>
  <c r="F30" i="2"/>
  <c r="E30" i="2"/>
  <c r="H29" i="2"/>
  <c r="I28" i="2"/>
  <c r="J28" i="2" s="1"/>
  <c r="H28" i="2"/>
  <c r="F28" i="2"/>
  <c r="H27" i="2"/>
  <c r="E27" i="2"/>
  <c r="I26" i="2"/>
  <c r="J26" i="2" s="1"/>
  <c r="H26" i="2"/>
  <c r="F26" i="2"/>
  <c r="E26" i="2"/>
  <c r="H25" i="2"/>
  <c r="E25" i="2"/>
  <c r="I24" i="2"/>
  <c r="J24" i="2" s="1"/>
  <c r="H24" i="2"/>
  <c r="F24" i="2"/>
  <c r="E24" i="2"/>
  <c r="H23" i="2"/>
  <c r="E23" i="2"/>
  <c r="I22" i="2"/>
  <c r="J22" i="2" s="1"/>
  <c r="H22" i="2"/>
  <c r="F22" i="2"/>
  <c r="E22" i="2"/>
  <c r="H21" i="2"/>
  <c r="E21" i="2"/>
  <c r="I20" i="2"/>
  <c r="J20" i="2" s="1"/>
  <c r="H20" i="2"/>
  <c r="F20" i="2"/>
  <c r="E20" i="2"/>
  <c r="H19" i="2"/>
  <c r="E19" i="2"/>
  <c r="I18" i="2"/>
  <c r="J18" i="2" s="1"/>
  <c r="H18" i="2"/>
  <c r="F18" i="2"/>
  <c r="E18" i="2"/>
  <c r="K28" i="2" l="1"/>
  <c r="K18" i="2"/>
  <c r="K22" i="2"/>
  <c r="K47" i="2"/>
  <c r="K49" i="2"/>
  <c r="K26" i="2"/>
  <c r="K20" i="2"/>
  <c r="K24" i="2"/>
  <c r="M18" i="2" s="1"/>
  <c r="L18" i="2" l="1"/>
  <c r="H94" i="2" l="1"/>
  <c r="E96" i="2"/>
  <c r="E92" i="2"/>
  <c r="I95" i="2"/>
  <c r="J95" i="2" s="1"/>
  <c r="F95" i="2"/>
  <c r="I93" i="2"/>
  <c r="J93" i="2" s="1"/>
  <c r="F93" i="2"/>
  <c r="I91" i="2"/>
  <c r="J91" i="2" s="1"/>
  <c r="F91" i="2"/>
  <c r="H88" i="2"/>
  <c r="H87" i="2"/>
  <c r="H86" i="2"/>
  <c r="H85" i="2"/>
  <c r="H84" i="2"/>
  <c r="H83" i="2"/>
  <c r="H82" i="2"/>
  <c r="H81" i="2"/>
  <c r="E88" i="2"/>
  <c r="E87" i="2"/>
  <c r="E86" i="2"/>
  <c r="E85" i="2"/>
  <c r="E84" i="2"/>
  <c r="E83" i="2"/>
  <c r="E82" i="2"/>
  <c r="E81" i="2"/>
  <c r="I87" i="2"/>
  <c r="J87" i="2" s="1"/>
  <c r="F87" i="2"/>
  <c r="I85" i="2"/>
  <c r="J85" i="2" s="1"/>
  <c r="F85" i="2"/>
  <c r="I83" i="2"/>
  <c r="J83" i="2" s="1"/>
  <c r="F83" i="2"/>
  <c r="I81" i="2"/>
  <c r="J81" i="2" s="1"/>
  <c r="F81" i="2"/>
  <c r="I75" i="2"/>
  <c r="J75" i="2" s="1"/>
  <c r="F75" i="2"/>
  <c r="I73" i="2"/>
  <c r="J73" i="2" s="1"/>
  <c r="F73" i="2"/>
  <c r="I71" i="2"/>
  <c r="J71" i="2" s="1"/>
  <c r="F71" i="2"/>
  <c r="J63" i="2"/>
  <c r="J61" i="2"/>
  <c r="J53" i="2"/>
  <c r="H52" i="2"/>
  <c r="H51" i="2"/>
  <c r="E57" i="2"/>
  <c r="E56" i="2"/>
  <c r="E54" i="2"/>
  <c r="E53" i="2"/>
  <c r="I57" i="2"/>
  <c r="J57" i="2" s="1"/>
  <c r="F57" i="2"/>
  <c r="I55" i="2"/>
  <c r="J55" i="2" s="1"/>
  <c r="F55" i="2"/>
  <c r="I53" i="2"/>
  <c r="F53" i="2"/>
  <c r="I51" i="2"/>
  <c r="J51" i="2" s="1"/>
  <c r="F51" i="2"/>
  <c r="H44" i="2"/>
  <c r="H43" i="2"/>
  <c r="H42" i="2"/>
  <c r="H41" i="2"/>
  <c r="H40" i="2"/>
  <c r="H39" i="2"/>
  <c r="H38" i="2"/>
  <c r="H37" i="2"/>
  <c r="H36" i="2"/>
  <c r="H35" i="2"/>
  <c r="E44" i="2"/>
  <c r="E43" i="2"/>
  <c r="E42" i="2"/>
  <c r="E41" i="2"/>
  <c r="E40" i="2"/>
  <c r="E39" i="2"/>
  <c r="E38" i="2"/>
  <c r="E36" i="2"/>
  <c r="E35" i="2"/>
  <c r="I43" i="2"/>
  <c r="J43" i="2" s="1"/>
  <c r="F43" i="2"/>
  <c r="K93" i="2" l="1"/>
  <c r="K91" i="2"/>
  <c r="K95" i="2"/>
  <c r="K81" i="2"/>
  <c r="K83" i="2"/>
  <c r="K85" i="2"/>
  <c r="K87" i="2"/>
  <c r="K73" i="2"/>
  <c r="K71" i="2"/>
  <c r="K75" i="2"/>
  <c r="K63" i="2"/>
  <c r="K61" i="2"/>
  <c r="K53" i="2"/>
  <c r="K51" i="2"/>
  <c r="K57" i="2"/>
  <c r="K55" i="2"/>
  <c r="K43" i="2"/>
  <c r="M81" i="2" l="1"/>
  <c r="L81" i="2"/>
  <c r="M47" i="2"/>
  <c r="L47" i="2"/>
  <c r="M61" i="2"/>
  <c r="L61" i="2"/>
  <c r="L91" i="2"/>
  <c r="M91" i="2"/>
  <c r="L71" i="2"/>
  <c r="M71" i="2"/>
  <c r="I41" i="2" l="1"/>
  <c r="J41" i="2" s="1"/>
  <c r="F41" i="2"/>
  <c r="I39" i="2"/>
  <c r="J39" i="2" s="1"/>
  <c r="F39" i="2"/>
  <c r="I37" i="2"/>
  <c r="J37" i="2" s="1"/>
  <c r="F37" i="2"/>
  <c r="I35" i="2"/>
  <c r="J35" i="2" s="1"/>
  <c r="F35" i="2"/>
  <c r="K39" i="2" l="1"/>
  <c r="K41" i="2"/>
  <c r="K35" i="2"/>
  <c r="K37" i="2"/>
  <c r="L35" i="2" l="1"/>
  <c r="M35" i="2"/>
</calcChain>
</file>

<file path=xl/sharedStrings.xml><?xml version="1.0" encoding="utf-8"?>
<sst xmlns="http://schemas.openxmlformats.org/spreadsheetml/2006/main" count="145" uniqueCount="43">
  <si>
    <t>ST DEV</t>
  </si>
  <si>
    <t>Average survival frequency</t>
  </si>
  <si>
    <t xml:space="preserve">Survival frequency </t>
  </si>
  <si>
    <t>Adjusted CFU (YPA + Gal)</t>
  </si>
  <si>
    <t>Average CFU (YPA + Gal)</t>
  </si>
  <si>
    <t>% red</t>
  </si>
  <si>
    <t>CFU (YPA + Gal)</t>
  </si>
  <si>
    <t>Average CFU (YPAD)</t>
  </si>
  <si>
    <t>% white</t>
  </si>
  <si>
    <t xml:space="preserve">CFU (YPAD) </t>
  </si>
  <si>
    <t>Plate</t>
  </si>
  <si>
    <t xml:space="preserve">Culture </t>
  </si>
  <si>
    <t>Genotype</t>
  </si>
  <si>
    <t>exo1sgs1 Chr 3 donor</t>
  </si>
  <si>
    <t>WT Chr 4 donor</t>
  </si>
  <si>
    <t>exo1sgs1 Chr 4 donor</t>
  </si>
  <si>
    <t>*plated 10x more cells on YPA + Gal compared to YPAD</t>
  </si>
  <si>
    <t>WT Chr 8 donor</t>
  </si>
  <si>
    <t>exo1sgs1 Chr 8 donor</t>
  </si>
  <si>
    <t>exo1sgs1 Chr 16 donor</t>
  </si>
  <si>
    <t xml:space="preserve">WT Chr 16 donor </t>
  </si>
  <si>
    <t>Genotypes compared</t>
  </si>
  <si>
    <t>p-value</t>
  </si>
  <si>
    <t>indicator</t>
  </si>
  <si>
    <t>****</t>
  </si>
  <si>
    <t>WT-exo1∆ sgs1∆ Chr 3</t>
  </si>
  <si>
    <t>WT-exo1∆ sgs1∆ Chr 4</t>
  </si>
  <si>
    <t>WT-exo1∆ sgs1∆ Chr 8</t>
  </si>
  <si>
    <t>WT-exo1∆ sgs1∆ Chr 16</t>
  </si>
  <si>
    <t>exo1∆ sgs1∆ Chr 3 - Chr 4</t>
  </si>
  <si>
    <t>exo1∆ sgs1∆ Chr 3 - Chr 16</t>
  </si>
  <si>
    <t>exo1∆ sgs1∆ Chr 4 - Chr 8</t>
  </si>
  <si>
    <t>exo1∆ sgs1∆ Chr 4 - Chr 16</t>
  </si>
  <si>
    <t>exo1∆ sgs1∆ Chr 8 - Chr 16</t>
  </si>
  <si>
    <t>***</t>
  </si>
  <si>
    <t>ns</t>
  </si>
  <si>
    <t>exo1∆ sgs1∆ Chr 3 - Chr 8</t>
  </si>
  <si>
    <t>*</t>
  </si>
  <si>
    <t>**</t>
  </si>
  <si>
    <t>WT Chr 8 - Chr 3</t>
  </si>
  <si>
    <t>WT Chr 8 - Chr 4</t>
  </si>
  <si>
    <t>WT Chr 8 - Chr 16</t>
  </si>
  <si>
    <t>WT Chr 3 donor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</si>
</sst>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 applyAlignment="1">
      <alignment horizontal="center"/>
    </xf>
    <xf numFmtId="0" fontId="0" fillId="0" borderId="1" xfId="0" applyBorder="1"/>
    <xf numFmtId="0" fontId="1" fillId="0" borderId="1" xfId="0" applyFont="1" applyFill="1" applyBorder="1"/>
    <xf numFmtId="0" fontId="1" fillId="0" borderId="1" xfId="0" applyFont="1" applyBorder="1"/>
    <xf numFmtId="0" fontId="0" fillId="0" borderId="1" xfId="0" applyFill="1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0" fillId="0" borderId="0" xfId="0" applyBorder="1"/>
    <xf numFmtId="0" fontId="1" fillId="0" borderId="3" xfId="0" applyFont="1" applyFill="1" applyBorder="1"/>
    <xf numFmtId="0" fontId="0" fillId="0" borderId="4" xfId="0" applyBorder="1"/>
    <xf numFmtId="0" fontId="0" fillId="0" borderId="0" xfId="0" applyFill="1" applyBorder="1"/>
    <xf numFmtId="0" fontId="1" fillId="0" borderId="0" xfId="0" applyFont="1" applyBorder="1"/>
    <xf numFmtId="0" fontId="1" fillId="0" borderId="0" xfId="0" applyFont="1" applyFill="1" applyBorder="1"/>
    <xf numFmtId="0" fontId="1" fillId="0" borderId="7" xfId="0" applyFont="1" applyFill="1" applyBorder="1"/>
    <xf numFmtId="11" fontId="0" fillId="0" borderId="1" xfId="0" applyNumberFormat="1" applyBorder="1"/>
    <xf numFmtId="0" fontId="0" fillId="0" borderId="1" xfId="0" applyBorder="1" applyAlignment="1"/>
    <xf numFmtId="0" fontId="2" fillId="0" borderId="1" xfId="0" applyFont="1" applyBorder="1" applyAlignment="1"/>
    <xf numFmtId="0" fontId="0" fillId="0" borderId="1" xfId="0" applyFill="1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top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78888-A9A5-5A42-9754-BCAD2B4343E3}">
  <dimension ref="A1:N193"/>
  <sheetViews>
    <sheetView tabSelected="1" zoomScale="70" zoomScaleNormal="70" workbookViewId="0">
      <selection activeCell="A14" sqref="A14"/>
    </sheetView>
  </sheetViews>
  <sheetFormatPr baseColWidth="10" defaultRowHeight="16" x14ac:dyDescent="0.2"/>
  <cols>
    <col min="1" max="1" width="23.1640625" bestFit="1" customWidth="1"/>
    <col min="2" max="2" width="9" bestFit="1" customWidth="1"/>
    <col min="3" max="3" width="11.6640625" bestFit="1" customWidth="1"/>
    <col min="4" max="4" width="11" customWidth="1"/>
    <col min="5" max="5" width="12.5" bestFit="1" customWidth="1"/>
    <col min="6" max="6" width="18.1640625" customWidth="1"/>
    <col min="7" max="7" width="14.83203125" customWidth="1"/>
    <col min="8" max="8" width="13.33203125" bestFit="1" customWidth="1"/>
    <col min="9" max="9" width="22" bestFit="1" customWidth="1"/>
    <col min="10" max="10" width="22.33203125" bestFit="1" customWidth="1"/>
    <col min="11" max="11" width="23" bestFit="1" customWidth="1"/>
    <col min="12" max="12" width="25.5" customWidth="1"/>
    <col min="13" max="13" width="8.33203125" bestFit="1" customWidth="1"/>
    <col min="14" max="14" width="10" bestFit="1" customWidth="1"/>
    <col min="15" max="15" width="11" bestFit="1" customWidth="1"/>
    <col min="16" max="16" width="15.33203125" bestFit="1" customWidth="1"/>
    <col min="17" max="17" width="7.1640625" bestFit="1" customWidth="1"/>
  </cols>
  <sheetData>
    <row r="1" spans="1:13" x14ac:dyDescent="0.2">
      <c r="A1" s="4" t="s">
        <v>12</v>
      </c>
      <c r="B1" s="4" t="s">
        <v>11</v>
      </c>
      <c r="C1" s="4" t="s">
        <v>10</v>
      </c>
      <c r="D1" s="4" t="s">
        <v>9</v>
      </c>
      <c r="E1" s="4" t="s">
        <v>8</v>
      </c>
      <c r="F1" s="4" t="s">
        <v>7</v>
      </c>
      <c r="G1" s="4" t="s">
        <v>6</v>
      </c>
      <c r="H1" s="4" t="s">
        <v>5</v>
      </c>
      <c r="I1" s="4" t="s">
        <v>4</v>
      </c>
      <c r="J1" s="4" t="s">
        <v>3</v>
      </c>
      <c r="K1" s="4" t="s">
        <v>2</v>
      </c>
      <c r="L1" s="3" t="s">
        <v>1</v>
      </c>
      <c r="M1" s="3" t="s">
        <v>0</v>
      </c>
    </row>
    <row r="2" spans="1:13" x14ac:dyDescent="0.2">
      <c r="A2" s="21" t="s">
        <v>42</v>
      </c>
      <c r="B2" s="20">
        <v>1</v>
      </c>
      <c r="C2" s="2">
        <v>1</v>
      </c>
      <c r="D2" s="2">
        <v>369</v>
      </c>
      <c r="E2" s="2">
        <f>4/D2*100</f>
        <v>1.084010840108401</v>
      </c>
      <c r="F2" s="19">
        <f>AVERAGE(D2:D3)</f>
        <v>376</v>
      </c>
      <c r="G2" s="2">
        <v>310</v>
      </c>
      <c r="H2" s="2">
        <f>18/G2*100</f>
        <v>5.806451612903226</v>
      </c>
      <c r="I2" s="19">
        <f>AVERAGE(G2:G3)</f>
        <v>327.5</v>
      </c>
      <c r="J2" s="19">
        <f>I2</f>
        <v>327.5</v>
      </c>
      <c r="K2" s="19">
        <f>J2/F2</f>
        <v>0.87101063829787229</v>
      </c>
      <c r="L2" s="21">
        <f>AVERAGE(K2:K13)</f>
        <v>0.9057194260829502</v>
      </c>
      <c r="M2" s="21">
        <f>STDEV(K2:K13)</f>
        <v>7.8674597006553715E-2</v>
      </c>
    </row>
    <row r="3" spans="1:13" x14ac:dyDescent="0.2">
      <c r="A3" s="21"/>
      <c r="B3" s="20"/>
      <c r="C3" s="2">
        <v>2</v>
      </c>
      <c r="D3" s="2">
        <v>383</v>
      </c>
      <c r="E3" s="2">
        <f>11/D3*100</f>
        <v>2.8720626631853787</v>
      </c>
      <c r="F3" s="19"/>
      <c r="G3" s="2">
        <v>345</v>
      </c>
      <c r="H3" s="2">
        <f>20/G3*100</f>
        <v>5.7971014492753623</v>
      </c>
      <c r="I3" s="19"/>
      <c r="J3" s="19"/>
      <c r="K3" s="19"/>
      <c r="L3" s="21"/>
      <c r="M3" s="21"/>
    </row>
    <row r="4" spans="1:13" x14ac:dyDescent="0.2">
      <c r="A4" s="21"/>
      <c r="B4" s="20">
        <v>2</v>
      </c>
      <c r="C4" s="2">
        <v>1</v>
      </c>
      <c r="D4" s="2">
        <v>138</v>
      </c>
      <c r="E4" s="2">
        <f>5/D4*100</f>
        <v>3.6231884057971016</v>
      </c>
      <c r="F4" s="19">
        <f>AVERAGE(D4:D5)</f>
        <v>144.5</v>
      </c>
      <c r="G4" s="2">
        <v>120</v>
      </c>
      <c r="H4" s="2">
        <f>5/G4*100</f>
        <v>4.1666666666666661</v>
      </c>
      <c r="I4" s="19">
        <f>AVERAGE(G4:G5)</f>
        <v>131</v>
      </c>
      <c r="J4" s="19">
        <f>I4</f>
        <v>131</v>
      </c>
      <c r="K4" s="19">
        <f>J4/F4</f>
        <v>0.90657439446366783</v>
      </c>
      <c r="L4" s="21"/>
      <c r="M4" s="21"/>
    </row>
    <row r="5" spans="1:13" x14ac:dyDescent="0.2">
      <c r="A5" s="21"/>
      <c r="B5" s="20"/>
      <c r="C5" s="2">
        <v>2</v>
      </c>
      <c r="D5" s="2">
        <v>151</v>
      </c>
      <c r="E5" s="2">
        <f>3/D5*100</f>
        <v>1.9867549668874174</v>
      </c>
      <c r="F5" s="19"/>
      <c r="G5" s="2">
        <v>142</v>
      </c>
      <c r="H5" s="2">
        <f>5/G5*100</f>
        <v>3.5211267605633805</v>
      </c>
      <c r="I5" s="19"/>
      <c r="J5" s="19"/>
      <c r="K5" s="19"/>
      <c r="L5" s="21"/>
      <c r="M5" s="21"/>
    </row>
    <row r="6" spans="1:13" x14ac:dyDescent="0.2">
      <c r="A6" s="21"/>
      <c r="B6" s="20">
        <v>3</v>
      </c>
      <c r="C6" s="2">
        <v>1</v>
      </c>
      <c r="D6" s="2">
        <v>197</v>
      </c>
      <c r="E6" s="2">
        <f>2/D6*100</f>
        <v>1.015228426395939</v>
      </c>
      <c r="F6" s="19">
        <f>AVERAGE(D6:D7)</f>
        <v>186</v>
      </c>
      <c r="G6" s="2">
        <v>157</v>
      </c>
      <c r="H6" s="2">
        <f>3/G6*100</f>
        <v>1.910828025477707</v>
      </c>
      <c r="I6" s="19">
        <f>AVERAGE(G6:G7)</f>
        <v>173.5</v>
      </c>
      <c r="J6" s="19">
        <f>I6</f>
        <v>173.5</v>
      </c>
      <c r="K6" s="19">
        <f>J6/F6</f>
        <v>0.93279569892473113</v>
      </c>
      <c r="L6" s="21"/>
      <c r="M6" s="21"/>
    </row>
    <row r="7" spans="1:13" x14ac:dyDescent="0.2">
      <c r="A7" s="21"/>
      <c r="B7" s="20"/>
      <c r="C7" s="2">
        <v>2</v>
      </c>
      <c r="D7" s="2">
        <v>175</v>
      </c>
      <c r="E7" s="2">
        <f>11/D7*100</f>
        <v>6.2857142857142865</v>
      </c>
      <c r="F7" s="19"/>
      <c r="G7" s="2">
        <v>190</v>
      </c>
      <c r="H7" s="2">
        <f>9/G7*100</f>
        <v>4.7368421052631584</v>
      </c>
      <c r="I7" s="19"/>
      <c r="J7" s="19"/>
      <c r="K7" s="19"/>
      <c r="L7" s="21"/>
      <c r="M7" s="21"/>
    </row>
    <row r="8" spans="1:13" x14ac:dyDescent="0.2">
      <c r="A8" s="21"/>
      <c r="B8" s="20">
        <v>4</v>
      </c>
      <c r="C8" s="2">
        <v>1</v>
      </c>
      <c r="D8" s="2">
        <v>141</v>
      </c>
      <c r="E8" s="2">
        <f>6/D8*100</f>
        <v>4.2553191489361701</v>
      </c>
      <c r="F8" s="19">
        <f>AVERAGE(D8:D9)</f>
        <v>129.5</v>
      </c>
      <c r="G8" s="2">
        <v>97</v>
      </c>
      <c r="H8" s="2">
        <f>2/G8*100</f>
        <v>2.0618556701030926</v>
      </c>
      <c r="I8" s="19">
        <f>AVERAGE(G8:G9)</f>
        <v>102.5</v>
      </c>
      <c r="J8" s="19">
        <f>I8</f>
        <v>102.5</v>
      </c>
      <c r="K8" s="19">
        <f>J8/F8</f>
        <v>0.79150579150579148</v>
      </c>
      <c r="L8" s="21"/>
      <c r="M8" s="21"/>
    </row>
    <row r="9" spans="1:13" x14ac:dyDescent="0.2">
      <c r="A9" s="21"/>
      <c r="B9" s="20"/>
      <c r="C9" s="2">
        <v>2</v>
      </c>
      <c r="D9" s="2">
        <v>118</v>
      </c>
      <c r="E9" s="2">
        <f>6/D9*100</f>
        <v>5.0847457627118651</v>
      </c>
      <c r="F9" s="19"/>
      <c r="G9" s="2">
        <v>108</v>
      </c>
      <c r="H9" s="2">
        <f>5/G9*100</f>
        <v>4.6296296296296298</v>
      </c>
      <c r="I9" s="19"/>
      <c r="J9" s="19"/>
      <c r="K9" s="19"/>
      <c r="L9" s="21"/>
      <c r="M9" s="21"/>
    </row>
    <row r="10" spans="1:13" x14ac:dyDescent="0.2">
      <c r="A10" s="21"/>
      <c r="B10" s="20">
        <v>5</v>
      </c>
      <c r="C10" s="2">
        <v>1</v>
      </c>
      <c r="D10" s="2">
        <v>322</v>
      </c>
      <c r="E10" s="2">
        <f>5/D10*100</f>
        <v>1.5527950310559007</v>
      </c>
      <c r="F10" s="19">
        <f>AVERAGE(D10:D11)</f>
        <v>321.5</v>
      </c>
      <c r="G10" s="2">
        <v>312</v>
      </c>
      <c r="H10" s="2">
        <f>8/G10*100</f>
        <v>2.5641025641025639</v>
      </c>
      <c r="I10" s="19">
        <f>AVERAGE(G10:G11)</f>
        <v>289.5</v>
      </c>
      <c r="J10" s="19">
        <f>I10</f>
        <v>289.5</v>
      </c>
      <c r="K10" s="19">
        <f>J10/F10</f>
        <v>0.90046656298600314</v>
      </c>
      <c r="L10" s="21"/>
      <c r="M10" s="21"/>
    </row>
    <row r="11" spans="1:13" x14ac:dyDescent="0.2">
      <c r="A11" s="21"/>
      <c r="B11" s="20"/>
      <c r="C11" s="2">
        <v>2</v>
      </c>
      <c r="D11" s="2">
        <v>321</v>
      </c>
      <c r="E11" s="2">
        <f>6/D11*100</f>
        <v>1.8691588785046727</v>
      </c>
      <c r="F11" s="19"/>
      <c r="G11" s="2">
        <v>267</v>
      </c>
      <c r="H11" s="2">
        <f>9/G11*100</f>
        <v>3.3707865168539324</v>
      </c>
      <c r="I11" s="19"/>
      <c r="J11" s="19"/>
      <c r="K11" s="19"/>
      <c r="L11" s="21"/>
      <c r="M11" s="21"/>
    </row>
    <row r="12" spans="1:13" x14ac:dyDescent="0.2">
      <c r="A12" s="21"/>
      <c r="B12" s="20">
        <v>6</v>
      </c>
      <c r="C12" s="2">
        <v>1</v>
      </c>
      <c r="D12" s="2">
        <v>238</v>
      </c>
      <c r="E12" s="2">
        <f>2/D12*100</f>
        <v>0.84033613445378152</v>
      </c>
      <c r="F12" s="19">
        <f>AVERAGE(D12:D13)</f>
        <v>219</v>
      </c>
      <c r="G12" s="2">
        <v>222</v>
      </c>
      <c r="H12" s="2">
        <f>8/G12*100</f>
        <v>3.6036036036036037</v>
      </c>
      <c r="I12" s="19">
        <f>AVERAGE(G12:G13)</f>
        <v>226</v>
      </c>
      <c r="J12" s="19">
        <f>I12</f>
        <v>226</v>
      </c>
      <c r="K12" s="19">
        <f>J12/F12</f>
        <v>1.0319634703196348</v>
      </c>
      <c r="L12" s="21"/>
      <c r="M12" s="21"/>
    </row>
    <row r="13" spans="1:13" x14ac:dyDescent="0.2">
      <c r="A13" s="21"/>
      <c r="B13" s="20"/>
      <c r="C13" s="2">
        <v>2</v>
      </c>
      <c r="D13" s="2">
        <v>200</v>
      </c>
      <c r="E13" s="2">
        <f>5/D13*100</f>
        <v>2.5</v>
      </c>
      <c r="F13" s="19"/>
      <c r="G13" s="2">
        <v>230</v>
      </c>
      <c r="H13" s="2">
        <f>8/G13*100</f>
        <v>3.4782608695652173</v>
      </c>
      <c r="I13" s="19"/>
      <c r="J13" s="19"/>
      <c r="K13" s="19"/>
      <c r="L13" s="21"/>
      <c r="M13" s="21"/>
    </row>
    <row r="14" spans="1:13" x14ac:dyDescent="0.2">
      <c r="A14" s="6"/>
      <c r="B14" s="7"/>
      <c r="C14" s="8"/>
      <c r="D14" s="8"/>
      <c r="E14" s="8"/>
      <c r="F14" s="1"/>
      <c r="G14" s="8"/>
      <c r="H14" s="8"/>
      <c r="I14" s="1"/>
      <c r="J14" s="1"/>
      <c r="K14" s="1"/>
      <c r="L14" s="6"/>
      <c r="M14" s="6"/>
    </row>
    <row r="15" spans="1:13" x14ac:dyDescent="0.2">
      <c r="A15" s="6"/>
      <c r="B15" s="7"/>
      <c r="C15" s="8"/>
      <c r="D15" s="8"/>
      <c r="E15" s="8"/>
      <c r="F15" s="1"/>
      <c r="G15" s="8"/>
      <c r="H15" s="8"/>
      <c r="I15" s="1"/>
      <c r="J15" s="1"/>
      <c r="K15" s="1"/>
      <c r="L15" s="6"/>
      <c r="M15" s="6"/>
    </row>
    <row r="16" spans="1:13" x14ac:dyDescent="0.2">
      <c r="A16" s="6"/>
      <c r="B16" s="7"/>
      <c r="C16" s="8"/>
      <c r="D16" s="8"/>
      <c r="E16" s="8"/>
      <c r="F16" s="1"/>
      <c r="G16" s="8"/>
      <c r="H16" s="8"/>
      <c r="I16" s="1"/>
      <c r="J16" s="1"/>
      <c r="K16" s="1"/>
      <c r="L16" s="6"/>
      <c r="M16" s="6"/>
    </row>
    <row r="17" spans="1:14" x14ac:dyDescent="0.2">
      <c r="A17" s="4" t="s">
        <v>12</v>
      </c>
      <c r="B17" s="4" t="s">
        <v>11</v>
      </c>
      <c r="C17" s="4" t="s">
        <v>10</v>
      </c>
      <c r="D17" s="4" t="s">
        <v>9</v>
      </c>
      <c r="E17" s="4" t="s">
        <v>8</v>
      </c>
      <c r="F17" s="4" t="s">
        <v>7</v>
      </c>
      <c r="G17" s="4" t="s">
        <v>6</v>
      </c>
      <c r="H17" s="4" t="s">
        <v>5</v>
      </c>
      <c r="I17" s="4" t="s">
        <v>4</v>
      </c>
      <c r="J17" s="4" t="s">
        <v>3</v>
      </c>
      <c r="K17" s="4" t="s">
        <v>2</v>
      </c>
      <c r="L17" s="3" t="s">
        <v>1</v>
      </c>
      <c r="M17" s="3" t="s">
        <v>0</v>
      </c>
      <c r="N17" s="14" t="s">
        <v>16</v>
      </c>
    </row>
    <row r="18" spans="1:14" x14ac:dyDescent="0.2">
      <c r="A18" s="21" t="s">
        <v>13</v>
      </c>
      <c r="B18" s="20">
        <v>1</v>
      </c>
      <c r="C18" s="2">
        <v>1</v>
      </c>
      <c r="D18" s="2">
        <v>137</v>
      </c>
      <c r="E18" s="2">
        <f t="shared" ref="E18:E23" si="0">0/D18*100</f>
        <v>0</v>
      </c>
      <c r="F18" s="19">
        <f>AVERAGE(D18:D19)</f>
        <v>116</v>
      </c>
      <c r="G18" s="2">
        <v>107</v>
      </c>
      <c r="H18" s="2">
        <f>0/G18*100</f>
        <v>0</v>
      </c>
      <c r="I18" s="19">
        <f>AVERAGE(G18:G19)</f>
        <v>95</v>
      </c>
      <c r="J18" s="19">
        <f>I18/10</f>
        <v>9.5</v>
      </c>
      <c r="K18" s="19">
        <f>J18/F18</f>
        <v>8.1896551724137928E-2</v>
      </c>
      <c r="L18" s="21">
        <f>AVERAGE(K18:K31)</f>
        <v>7.7787095534961104E-2</v>
      </c>
      <c r="M18" s="21">
        <f>STDEV(K18:K31)</f>
        <v>2.5245016934982701E-2</v>
      </c>
    </row>
    <row r="19" spans="1:14" x14ac:dyDescent="0.2">
      <c r="A19" s="21"/>
      <c r="B19" s="20"/>
      <c r="C19" s="2">
        <v>2</v>
      </c>
      <c r="D19" s="2">
        <v>95</v>
      </c>
      <c r="E19" s="2">
        <f t="shared" si="0"/>
        <v>0</v>
      </c>
      <c r="F19" s="19"/>
      <c r="G19" s="2">
        <v>83</v>
      </c>
      <c r="H19" s="2">
        <f>0/G19*100</f>
        <v>0</v>
      </c>
      <c r="I19" s="19"/>
      <c r="J19" s="19"/>
      <c r="K19" s="19"/>
      <c r="L19" s="21"/>
      <c r="M19" s="21"/>
    </row>
    <row r="20" spans="1:14" x14ac:dyDescent="0.2">
      <c r="A20" s="21"/>
      <c r="B20" s="20">
        <v>2</v>
      </c>
      <c r="C20" s="2">
        <v>1</v>
      </c>
      <c r="D20" s="2">
        <v>566</v>
      </c>
      <c r="E20" s="2">
        <f t="shared" si="0"/>
        <v>0</v>
      </c>
      <c r="F20" s="19">
        <f>AVERAGE(D20:D21)</f>
        <v>572.5</v>
      </c>
      <c r="G20" s="2">
        <v>304</v>
      </c>
      <c r="H20" s="2">
        <f>23/G20*100</f>
        <v>7.5657894736842106</v>
      </c>
      <c r="I20" s="19">
        <f>AVERAGE(G20:G21)</f>
        <v>334.5</v>
      </c>
      <c r="J20" s="19">
        <f>I20/10</f>
        <v>33.450000000000003</v>
      </c>
      <c r="K20" s="19">
        <f>J20/F20</f>
        <v>5.8427947598253281E-2</v>
      </c>
      <c r="L20" s="21"/>
      <c r="M20" s="21"/>
    </row>
    <row r="21" spans="1:14" x14ac:dyDescent="0.2">
      <c r="A21" s="21"/>
      <c r="B21" s="20"/>
      <c r="C21" s="2">
        <v>2</v>
      </c>
      <c r="D21" s="2">
        <v>579</v>
      </c>
      <c r="E21" s="2">
        <f t="shared" si="0"/>
        <v>0</v>
      </c>
      <c r="F21" s="19"/>
      <c r="G21" s="2">
        <v>365</v>
      </c>
      <c r="H21" s="2">
        <f>18/G21*100</f>
        <v>4.9315068493150687</v>
      </c>
      <c r="I21" s="19"/>
      <c r="J21" s="19"/>
      <c r="K21" s="19"/>
      <c r="L21" s="21"/>
      <c r="M21" s="21"/>
    </row>
    <row r="22" spans="1:14" x14ac:dyDescent="0.2">
      <c r="A22" s="21"/>
      <c r="B22" s="20">
        <v>3</v>
      </c>
      <c r="C22" s="2">
        <v>1</v>
      </c>
      <c r="D22" s="2">
        <v>484</v>
      </c>
      <c r="E22" s="2">
        <f t="shared" si="0"/>
        <v>0</v>
      </c>
      <c r="F22" s="19">
        <f>AVERAGE(D22:D23)</f>
        <v>479.5</v>
      </c>
      <c r="G22" s="2">
        <v>369</v>
      </c>
      <c r="H22" s="2">
        <f>8/G22*100</f>
        <v>2.168021680216802</v>
      </c>
      <c r="I22" s="19">
        <f>AVERAGE(G22:G23)</f>
        <v>414</v>
      </c>
      <c r="J22" s="19">
        <f>I22/10</f>
        <v>41.4</v>
      </c>
      <c r="K22" s="19">
        <f>J22/F22</f>
        <v>8.6339937434827943E-2</v>
      </c>
      <c r="L22" s="21"/>
      <c r="M22" s="21"/>
    </row>
    <row r="23" spans="1:14" x14ac:dyDescent="0.2">
      <c r="A23" s="21"/>
      <c r="B23" s="20"/>
      <c r="C23" s="2">
        <v>2</v>
      </c>
      <c r="D23" s="2">
        <v>475</v>
      </c>
      <c r="E23" s="2">
        <f t="shared" si="0"/>
        <v>0</v>
      </c>
      <c r="F23" s="19"/>
      <c r="G23" s="2">
        <v>459</v>
      </c>
      <c r="H23" s="2">
        <f>13/G23*100</f>
        <v>2.8322440087145968</v>
      </c>
      <c r="I23" s="19"/>
      <c r="J23" s="19"/>
      <c r="K23" s="19"/>
      <c r="L23" s="21"/>
      <c r="M23" s="21"/>
    </row>
    <row r="24" spans="1:14" x14ac:dyDescent="0.2">
      <c r="A24" s="21"/>
      <c r="B24" s="20">
        <v>4</v>
      </c>
      <c r="C24" s="2">
        <v>1</v>
      </c>
      <c r="D24" s="2">
        <v>134</v>
      </c>
      <c r="E24" s="2">
        <f>3/D24*100</f>
        <v>2.2388059701492535</v>
      </c>
      <c r="F24" s="19">
        <f>AVERAGE(D24:D25)</f>
        <v>131</v>
      </c>
      <c r="G24" s="2">
        <v>52</v>
      </c>
      <c r="H24" s="2">
        <f>0/G24*100</f>
        <v>0</v>
      </c>
      <c r="I24" s="19">
        <f>AVERAGE(G24:G25)</f>
        <v>65</v>
      </c>
      <c r="J24" s="19">
        <f>I24/10</f>
        <v>6.5</v>
      </c>
      <c r="K24" s="19">
        <f>J24/F24</f>
        <v>4.9618320610687022E-2</v>
      </c>
      <c r="L24" s="21"/>
      <c r="M24" s="21"/>
    </row>
    <row r="25" spans="1:14" x14ac:dyDescent="0.2">
      <c r="A25" s="21"/>
      <c r="B25" s="20"/>
      <c r="C25" s="2">
        <v>2</v>
      </c>
      <c r="D25" s="2">
        <v>128</v>
      </c>
      <c r="E25" s="2">
        <f>2/D25*100</f>
        <v>1.5625</v>
      </c>
      <c r="F25" s="19"/>
      <c r="G25" s="2">
        <v>78</v>
      </c>
      <c r="H25" s="2">
        <f>3/G25*100</f>
        <v>3.8461538461538463</v>
      </c>
      <c r="I25" s="19"/>
      <c r="J25" s="19"/>
      <c r="K25" s="19"/>
      <c r="L25" s="21"/>
      <c r="M25" s="21"/>
    </row>
    <row r="26" spans="1:14" x14ac:dyDescent="0.2">
      <c r="A26" s="21"/>
      <c r="B26" s="20">
        <v>5</v>
      </c>
      <c r="C26" s="2">
        <v>1</v>
      </c>
      <c r="D26" s="2">
        <v>160</v>
      </c>
      <c r="E26" s="2">
        <f>4/D26*100</f>
        <v>2.5</v>
      </c>
      <c r="F26" s="19">
        <f>AVERAGE(D26:D27)</f>
        <v>169.5</v>
      </c>
      <c r="G26" s="2">
        <v>79</v>
      </c>
      <c r="H26" s="2">
        <f>3/G26*100</f>
        <v>3.79746835443038</v>
      </c>
      <c r="I26" s="19">
        <f>AVERAGE(G26:G27)</f>
        <v>91</v>
      </c>
      <c r="J26" s="19">
        <f>I26/10</f>
        <v>9.1</v>
      </c>
      <c r="K26" s="19">
        <f>J26/F26</f>
        <v>5.3687315634218288E-2</v>
      </c>
      <c r="L26" s="21"/>
      <c r="M26" s="21"/>
    </row>
    <row r="27" spans="1:14" x14ac:dyDescent="0.2">
      <c r="A27" s="21"/>
      <c r="B27" s="20"/>
      <c r="C27" s="2">
        <v>2</v>
      </c>
      <c r="D27" s="2">
        <v>179</v>
      </c>
      <c r="E27" s="2">
        <f>5/D27*100</f>
        <v>2.7932960893854748</v>
      </c>
      <c r="F27" s="19"/>
      <c r="G27" s="2">
        <v>103</v>
      </c>
      <c r="H27" s="2">
        <f>8/G27*100</f>
        <v>7.7669902912621351</v>
      </c>
      <c r="I27" s="19"/>
      <c r="J27" s="19"/>
      <c r="K27" s="19"/>
      <c r="L27" s="21"/>
      <c r="M27" s="21"/>
    </row>
    <row r="28" spans="1:14" x14ac:dyDescent="0.2">
      <c r="A28" s="21"/>
      <c r="B28" s="20">
        <v>6</v>
      </c>
      <c r="C28" s="2">
        <v>1</v>
      </c>
      <c r="D28" s="2">
        <v>102</v>
      </c>
      <c r="E28" s="2">
        <v>0</v>
      </c>
      <c r="F28" s="19">
        <f>AVERAGE(D28:D29)</f>
        <v>104.5</v>
      </c>
      <c r="G28" s="2">
        <v>82</v>
      </c>
      <c r="H28" s="2">
        <f>1/G28*100</f>
        <v>1.2195121951219512</v>
      </c>
      <c r="I28" s="19">
        <f>AVERAGE(G28:G29)</f>
        <v>100.5</v>
      </c>
      <c r="J28" s="19">
        <f>I28/10</f>
        <v>10.050000000000001</v>
      </c>
      <c r="K28" s="19">
        <f>J28/F28</f>
        <v>9.6172248803827756E-2</v>
      </c>
      <c r="L28" s="21"/>
      <c r="M28" s="21"/>
    </row>
    <row r="29" spans="1:14" x14ac:dyDescent="0.2">
      <c r="A29" s="21"/>
      <c r="B29" s="20"/>
      <c r="C29" s="2">
        <v>2</v>
      </c>
      <c r="D29" s="2">
        <v>107</v>
      </c>
      <c r="E29" s="2">
        <v>0</v>
      </c>
      <c r="F29" s="19"/>
      <c r="G29" s="2">
        <v>119</v>
      </c>
      <c r="H29" s="2">
        <f>1/G29*100</f>
        <v>0.84033613445378152</v>
      </c>
      <c r="I29" s="19"/>
      <c r="J29" s="19"/>
      <c r="K29" s="19"/>
      <c r="L29" s="21"/>
      <c r="M29" s="21"/>
    </row>
    <row r="30" spans="1:14" x14ac:dyDescent="0.2">
      <c r="A30" s="21"/>
      <c r="B30" s="20">
        <v>7</v>
      </c>
      <c r="C30" s="2">
        <v>1</v>
      </c>
      <c r="D30" s="2">
        <v>40</v>
      </c>
      <c r="E30" s="2">
        <f>7/D30*100</f>
        <v>17.5</v>
      </c>
      <c r="F30" s="19">
        <f>AVERAGE(D30:D31)</f>
        <v>49</v>
      </c>
      <c r="G30" s="2">
        <v>61</v>
      </c>
      <c r="H30" s="2">
        <v>0</v>
      </c>
      <c r="I30" s="19">
        <f>AVERAGE(G30:G31)</f>
        <v>58</v>
      </c>
      <c r="J30" s="19">
        <f>I30/10</f>
        <v>5.8</v>
      </c>
      <c r="K30" s="19">
        <f>J30/F30</f>
        <v>0.1183673469387755</v>
      </c>
      <c r="L30" s="21"/>
      <c r="M30" s="21"/>
    </row>
    <row r="31" spans="1:14" x14ac:dyDescent="0.2">
      <c r="A31" s="21"/>
      <c r="B31" s="20"/>
      <c r="C31" s="2">
        <v>2</v>
      </c>
      <c r="D31" s="2">
        <v>58</v>
      </c>
      <c r="E31" s="2">
        <f>2/D31*100</f>
        <v>3.4482758620689653</v>
      </c>
      <c r="F31" s="19"/>
      <c r="G31" s="2">
        <v>55</v>
      </c>
      <c r="H31" s="2">
        <f>1/G31*100</f>
        <v>1.8181818181818181</v>
      </c>
      <c r="I31" s="19"/>
      <c r="J31" s="19"/>
      <c r="K31" s="19"/>
      <c r="L31" s="21"/>
      <c r="M31" s="21"/>
    </row>
    <row r="32" spans="1:14" x14ac:dyDescent="0.2">
      <c r="A32" s="6"/>
      <c r="B32" s="7"/>
      <c r="C32" s="8"/>
      <c r="D32" s="8"/>
      <c r="E32" s="8"/>
      <c r="F32" s="1"/>
      <c r="G32" s="8"/>
      <c r="H32" s="8"/>
      <c r="I32" s="1"/>
      <c r="J32" s="1"/>
      <c r="K32" s="1"/>
      <c r="L32" s="6"/>
      <c r="M32" s="6"/>
    </row>
    <row r="34" spans="1:14" x14ac:dyDescent="0.2">
      <c r="A34" s="4" t="s">
        <v>12</v>
      </c>
      <c r="B34" s="4" t="s">
        <v>11</v>
      </c>
      <c r="C34" s="4" t="s">
        <v>10</v>
      </c>
      <c r="D34" s="4" t="s">
        <v>9</v>
      </c>
      <c r="E34" s="4" t="s">
        <v>8</v>
      </c>
      <c r="F34" s="4" t="s">
        <v>7</v>
      </c>
      <c r="G34" s="4" t="s">
        <v>6</v>
      </c>
      <c r="H34" s="4" t="s">
        <v>5</v>
      </c>
      <c r="I34" s="4" t="s">
        <v>4</v>
      </c>
      <c r="J34" s="4" t="s">
        <v>3</v>
      </c>
      <c r="K34" s="4" t="s">
        <v>2</v>
      </c>
      <c r="L34" s="3" t="s">
        <v>1</v>
      </c>
      <c r="M34" s="3" t="s">
        <v>0</v>
      </c>
    </row>
    <row r="35" spans="1:14" x14ac:dyDescent="0.2">
      <c r="A35" s="27" t="s">
        <v>14</v>
      </c>
      <c r="B35" s="20">
        <v>1</v>
      </c>
      <c r="C35" s="2">
        <v>1</v>
      </c>
      <c r="D35" s="2">
        <v>231</v>
      </c>
      <c r="E35" s="2">
        <f>1/231*100</f>
        <v>0.4329004329004329</v>
      </c>
      <c r="F35" s="19">
        <f>AVERAGE(D35:D36)</f>
        <v>238.5</v>
      </c>
      <c r="G35" s="2">
        <v>221</v>
      </c>
      <c r="H35" s="2">
        <f>6/221*100</f>
        <v>2.7149321266968327</v>
      </c>
      <c r="I35" s="19">
        <f>AVERAGE(G35:G36)</f>
        <v>225.5</v>
      </c>
      <c r="J35" s="19">
        <f>I35</f>
        <v>225.5</v>
      </c>
      <c r="K35" s="19">
        <f>J35/F35</f>
        <v>0.9454926624737946</v>
      </c>
      <c r="L35" s="22">
        <f>AVERAGE(K35:K44)</f>
        <v>0.95736039099235204</v>
      </c>
      <c r="M35" s="27">
        <f>STDEV(K35:K44)</f>
        <v>5.9084768509514655E-2</v>
      </c>
    </row>
    <row r="36" spans="1:14" x14ac:dyDescent="0.2">
      <c r="A36" s="28"/>
      <c r="B36" s="20"/>
      <c r="C36" s="2">
        <v>2</v>
      </c>
      <c r="D36" s="2">
        <v>246</v>
      </c>
      <c r="E36" s="2">
        <f>0</f>
        <v>0</v>
      </c>
      <c r="F36" s="19"/>
      <c r="G36" s="2">
        <v>230</v>
      </c>
      <c r="H36" s="2">
        <f>12/230*100</f>
        <v>5.2173913043478262</v>
      </c>
      <c r="I36" s="19"/>
      <c r="J36" s="19"/>
      <c r="K36" s="19"/>
      <c r="L36" s="23"/>
      <c r="M36" s="28"/>
    </row>
    <row r="37" spans="1:14" x14ac:dyDescent="0.2">
      <c r="A37" s="28"/>
      <c r="B37" s="20">
        <v>2</v>
      </c>
      <c r="C37" s="2">
        <v>1</v>
      </c>
      <c r="D37" s="2">
        <v>541</v>
      </c>
      <c r="E37" s="2">
        <v>0</v>
      </c>
      <c r="F37" s="19">
        <f>AVERAGE(D37:D38)</f>
        <v>557.5</v>
      </c>
      <c r="G37" s="2">
        <v>522</v>
      </c>
      <c r="H37" s="2">
        <f>25/522*100</f>
        <v>4.7892720306513414</v>
      </c>
      <c r="I37" s="19">
        <f>AVERAGE(G37:G38)</f>
        <v>494</v>
      </c>
      <c r="J37" s="19">
        <f>I37</f>
        <v>494</v>
      </c>
      <c r="K37" s="19">
        <f>J37/F37</f>
        <v>0.88609865470852023</v>
      </c>
      <c r="L37" s="23"/>
      <c r="M37" s="28"/>
    </row>
    <row r="38" spans="1:14" x14ac:dyDescent="0.2">
      <c r="A38" s="28"/>
      <c r="B38" s="20"/>
      <c r="C38" s="2">
        <v>2</v>
      </c>
      <c r="D38" s="2">
        <v>574</v>
      </c>
      <c r="E38" s="2">
        <f>2/574*100</f>
        <v>0.34843205574912894</v>
      </c>
      <c r="F38" s="19"/>
      <c r="G38" s="2">
        <v>466</v>
      </c>
      <c r="H38" s="2">
        <f>38/466*100</f>
        <v>8.1545064377682408</v>
      </c>
      <c r="I38" s="19"/>
      <c r="J38" s="19"/>
      <c r="K38" s="19"/>
      <c r="L38" s="23"/>
      <c r="M38" s="28"/>
    </row>
    <row r="39" spans="1:14" x14ac:dyDescent="0.2">
      <c r="A39" s="28"/>
      <c r="B39" s="20">
        <v>3</v>
      </c>
      <c r="C39" s="2">
        <v>1</v>
      </c>
      <c r="D39" s="2">
        <v>318</v>
      </c>
      <c r="E39" s="2">
        <f>1/318*100</f>
        <v>0.31446540880503149</v>
      </c>
      <c r="F39" s="19">
        <f>AVERAGE(D39:D40)</f>
        <v>333</v>
      </c>
      <c r="G39" s="2">
        <v>311</v>
      </c>
      <c r="H39" s="2">
        <f>9/311*100</f>
        <v>2.8938906752411575</v>
      </c>
      <c r="I39" s="19">
        <f>AVERAGE(G39:G40)</f>
        <v>321</v>
      </c>
      <c r="J39" s="19">
        <f>I39</f>
        <v>321</v>
      </c>
      <c r="K39" s="19">
        <f>J39/F39</f>
        <v>0.963963963963964</v>
      </c>
      <c r="L39" s="23"/>
      <c r="M39" s="28"/>
    </row>
    <row r="40" spans="1:14" x14ac:dyDescent="0.2">
      <c r="A40" s="28"/>
      <c r="B40" s="20"/>
      <c r="C40" s="2">
        <v>2</v>
      </c>
      <c r="D40" s="2">
        <v>348</v>
      </c>
      <c r="E40" s="2">
        <f>1/348*100</f>
        <v>0.28735632183908044</v>
      </c>
      <c r="F40" s="19"/>
      <c r="G40" s="2">
        <v>331</v>
      </c>
      <c r="H40" s="2">
        <f>13/331*100</f>
        <v>3.9274924471299091</v>
      </c>
      <c r="I40" s="19"/>
      <c r="J40" s="19"/>
      <c r="K40" s="19"/>
      <c r="L40" s="23"/>
      <c r="M40" s="28"/>
    </row>
    <row r="41" spans="1:14" x14ac:dyDescent="0.2">
      <c r="A41" s="28"/>
      <c r="B41" s="20">
        <v>4</v>
      </c>
      <c r="C41" s="2">
        <v>1</v>
      </c>
      <c r="D41" s="2">
        <v>161</v>
      </c>
      <c r="E41" s="2">
        <f>1/161*100</f>
        <v>0.6211180124223602</v>
      </c>
      <c r="F41" s="19">
        <f>AVERAGE(D41:D42)</f>
        <v>163.5</v>
      </c>
      <c r="G41" s="5">
        <v>141</v>
      </c>
      <c r="H41" s="2">
        <f>3/141*100</f>
        <v>2.1276595744680851</v>
      </c>
      <c r="I41" s="19">
        <f>AVERAGE(G41:G42)</f>
        <v>154</v>
      </c>
      <c r="J41" s="19">
        <f>I41</f>
        <v>154</v>
      </c>
      <c r="K41" s="19">
        <f>J41/F41</f>
        <v>0.94189602446483178</v>
      </c>
      <c r="L41" s="23"/>
      <c r="M41" s="28"/>
    </row>
    <row r="42" spans="1:14" x14ac:dyDescent="0.2">
      <c r="A42" s="28"/>
      <c r="B42" s="20"/>
      <c r="C42" s="2">
        <v>2</v>
      </c>
      <c r="D42" s="2">
        <v>166</v>
      </c>
      <c r="E42" s="2">
        <f>4/166*100</f>
        <v>2.4096385542168677</v>
      </c>
      <c r="F42" s="19"/>
      <c r="G42" s="5">
        <v>167</v>
      </c>
      <c r="H42" s="2">
        <f>6/167*100</f>
        <v>3.5928143712574849</v>
      </c>
      <c r="I42" s="19"/>
      <c r="J42" s="19"/>
      <c r="K42" s="19"/>
      <c r="L42" s="23"/>
      <c r="M42" s="28"/>
      <c r="N42" s="8"/>
    </row>
    <row r="43" spans="1:14" x14ac:dyDescent="0.2">
      <c r="A43" s="28"/>
      <c r="B43" s="20">
        <v>5</v>
      </c>
      <c r="C43" s="2">
        <v>1</v>
      </c>
      <c r="D43" s="2">
        <v>213</v>
      </c>
      <c r="E43" s="2">
        <f>5/213*100</f>
        <v>2.3474178403755865</v>
      </c>
      <c r="F43" s="19">
        <f>AVERAGE(D43:D44)</f>
        <v>192.5</v>
      </c>
      <c r="G43" s="5">
        <v>187</v>
      </c>
      <c r="H43" s="2">
        <f>7/187*100</f>
        <v>3.7433155080213902</v>
      </c>
      <c r="I43" s="19">
        <f>AVERAGE(G43:G44)</f>
        <v>202</v>
      </c>
      <c r="J43" s="19">
        <f>I43</f>
        <v>202</v>
      </c>
      <c r="K43" s="19">
        <f>J43/F43</f>
        <v>1.0493506493506493</v>
      </c>
      <c r="L43" s="23"/>
      <c r="M43" s="28"/>
      <c r="N43" s="8"/>
    </row>
    <row r="44" spans="1:14" x14ac:dyDescent="0.2">
      <c r="A44" s="29"/>
      <c r="B44" s="20"/>
      <c r="C44" s="2">
        <v>2</v>
      </c>
      <c r="D44" s="2">
        <v>172</v>
      </c>
      <c r="E44" s="2">
        <f>6/172*100</f>
        <v>3.4883720930232558</v>
      </c>
      <c r="F44" s="19"/>
      <c r="G44" s="5">
        <v>217</v>
      </c>
      <c r="H44" s="2">
        <f>4/217*100</f>
        <v>1.8433179723502304</v>
      </c>
      <c r="I44" s="19"/>
      <c r="J44" s="19"/>
      <c r="K44" s="19"/>
      <c r="L44" s="24"/>
      <c r="M44" s="29"/>
      <c r="N44" s="8"/>
    </row>
    <row r="45" spans="1:14" x14ac:dyDescent="0.2">
      <c r="N45" s="8"/>
    </row>
    <row r="46" spans="1:14" x14ac:dyDescent="0.2">
      <c r="A46" s="4" t="s">
        <v>12</v>
      </c>
      <c r="B46" s="4" t="s">
        <v>11</v>
      </c>
      <c r="C46" s="4" t="s">
        <v>10</v>
      </c>
      <c r="D46" s="4" t="s">
        <v>9</v>
      </c>
      <c r="E46" s="4" t="s">
        <v>8</v>
      </c>
      <c r="F46" s="4" t="s">
        <v>7</v>
      </c>
      <c r="G46" s="4" t="s">
        <v>6</v>
      </c>
      <c r="H46" s="4" t="s">
        <v>5</v>
      </c>
      <c r="I46" s="4" t="s">
        <v>4</v>
      </c>
      <c r="J46" s="4" t="s">
        <v>3</v>
      </c>
      <c r="K46" s="4" t="s">
        <v>2</v>
      </c>
      <c r="L46" s="3" t="s">
        <v>1</v>
      </c>
      <c r="M46" s="3" t="s">
        <v>0</v>
      </c>
      <c r="N46" s="9" t="s">
        <v>16</v>
      </c>
    </row>
    <row r="47" spans="1:14" x14ac:dyDescent="0.2">
      <c r="A47" s="27" t="s">
        <v>15</v>
      </c>
      <c r="B47" s="20">
        <v>1</v>
      </c>
      <c r="C47" s="2">
        <v>1</v>
      </c>
      <c r="D47" s="2">
        <v>165</v>
      </c>
      <c r="E47" s="2">
        <v>0</v>
      </c>
      <c r="F47" s="19">
        <f>AVERAGE(D47:D48)</f>
        <v>174.5</v>
      </c>
      <c r="G47" s="2">
        <v>200</v>
      </c>
      <c r="H47" s="2">
        <f>19/200*100</f>
        <v>9.5</v>
      </c>
      <c r="I47" s="19">
        <f>AVERAGE(G47:G48)</f>
        <v>220</v>
      </c>
      <c r="J47" s="19">
        <f t="shared" ref="J47" si="1">I47/10</f>
        <v>22</v>
      </c>
      <c r="K47" s="19">
        <f>J47/F47</f>
        <v>0.12607449856733524</v>
      </c>
      <c r="L47" s="22">
        <f>AVERAGE(K47:K58)</f>
        <v>0.13545633779060856</v>
      </c>
      <c r="M47" s="27">
        <f>STDEV(K47:K58)</f>
        <v>4.2536017932052222E-2</v>
      </c>
      <c r="N47" s="8"/>
    </row>
    <row r="48" spans="1:14" x14ac:dyDescent="0.2">
      <c r="A48" s="28"/>
      <c r="B48" s="20"/>
      <c r="C48" s="2">
        <v>2</v>
      </c>
      <c r="D48" s="2">
        <v>184</v>
      </c>
      <c r="E48" s="2">
        <v>0</v>
      </c>
      <c r="F48" s="19"/>
      <c r="G48" s="2">
        <v>240</v>
      </c>
      <c r="H48" s="2">
        <f>23/240*100</f>
        <v>9.5833333333333339</v>
      </c>
      <c r="I48" s="19"/>
      <c r="J48" s="19"/>
      <c r="K48" s="19"/>
      <c r="L48" s="23"/>
      <c r="M48" s="28"/>
      <c r="N48" s="8"/>
    </row>
    <row r="49" spans="1:14" x14ac:dyDescent="0.2">
      <c r="A49" s="28"/>
      <c r="B49" s="20">
        <v>2</v>
      </c>
      <c r="C49" s="2">
        <v>1</v>
      </c>
      <c r="D49" s="2">
        <v>146</v>
      </c>
      <c r="E49" s="2">
        <f>1/146*100</f>
        <v>0.68493150684931503</v>
      </c>
      <c r="F49" s="19">
        <f>AVERAGE(D49:D50)</f>
        <v>141.5</v>
      </c>
      <c r="G49" s="2">
        <v>119</v>
      </c>
      <c r="H49" s="2">
        <f>12/119*100</f>
        <v>10.084033613445378</v>
      </c>
      <c r="I49" s="19">
        <f>AVERAGE(G49:G50)</f>
        <v>104</v>
      </c>
      <c r="J49" s="19">
        <f t="shared" ref="J49" si="2">I49/10</f>
        <v>10.4</v>
      </c>
      <c r="K49" s="19">
        <f>J49/F49</f>
        <v>7.3498233215547701E-2</v>
      </c>
      <c r="L49" s="23"/>
      <c r="M49" s="28"/>
      <c r="N49" s="8"/>
    </row>
    <row r="50" spans="1:14" x14ac:dyDescent="0.2">
      <c r="A50" s="28"/>
      <c r="B50" s="20"/>
      <c r="C50" s="2">
        <v>2</v>
      </c>
      <c r="D50" s="2">
        <v>137</v>
      </c>
      <c r="E50" s="2">
        <v>0</v>
      </c>
      <c r="F50" s="19"/>
      <c r="G50" s="2">
        <v>89</v>
      </c>
      <c r="H50" s="2">
        <f>4/89*100</f>
        <v>4.4943820224719104</v>
      </c>
      <c r="I50" s="19"/>
      <c r="J50" s="19"/>
      <c r="K50" s="19"/>
      <c r="L50" s="23"/>
      <c r="M50" s="28"/>
      <c r="N50" s="8"/>
    </row>
    <row r="51" spans="1:14" x14ac:dyDescent="0.2">
      <c r="A51" s="28"/>
      <c r="B51" s="20">
        <v>3</v>
      </c>
      <c r="C51" s="2">
        <v>1</v>
      </c>
      <c r="D51" s="2">
        <v>201</v>
      </c>
      <c r="E51" s="2">
        <v>0</v>
      </c>
      <c r="F51" s="19">
        <f>AVERAGE(D51:D52)</f>
        <v>192</v>
      </c>
      <c r="G51" s="2">
        <v>277</v>
      </c>
      <c r="H51" s="2">
        <f>23/277*100</f>
        <v>8.3032490974729249</v>
      </c>
      <c r="I51" s="19">
        <f>AVERAGE(G51:G52)</f>
        <v>275</v>
      </c>
      <c r="J51" s="19">
        <f t="shared" ref="J51" si="3">I51/10</f>
        <v>27.5</v>
      </c>
      <c r="K51" s="19">
        <f>J51/F51</f>
        <v>0.14322916666666666</v>
      </c>
      <c r="L51" s="23"/>
      <c r="M51" s="28"/>
      <c r="N51" s="8"/>
    </row>
    <row r="52" spans="1:14" x14ac:dyDescent="0.2">
      <c r="A52" s="28"/>
      <c r="B52" s="20"/>
      <c r="C52" s="2">
        <v>2</v>
      </c>
      <c r="D52" s="2">
        <v>183</v>
      </c>
      <c r="E52" s="2">
        <v>0</v>
      </c>
      <c r="F52" s="19"/>
      <c r="G52" s="2">
        <v>273</v>
      </c>
      <c r="H52" s="2">
        <f>23/273*100</f>
        <v>8.4249084249084252</v>
      </c>
      <c r="I52" s="19"/>
      <c r="J52" s="19"/>
      <c r="K52" s="19"/>
      <c r="L52" s="23"/>
      <c r="M52" s="28"/>
      <c r="N52" s="8"/>
    </row>
    <row r="53" spans="1:14" x14ac:dyDescent="0.2">
      <c r="A53" s="28"/>
      <c r="B53" s="20">
        <v>4</v>
      </c>
      <c r="C53" s="2">
        <v>1</v>
      </c>
      <c r="D53" s="2">
        <v>72</v>
      </c>
      <c r="E53" s="2">
        <f>1/72*100</f>
        <v>1.3888888888888888</v>
      </c>
      <c r="F53" s="19">
        <f>AVERAGE(D53:D54)</f>
        <v>66.5</v>
      </c>
      <c r="G53" s="5">
        <v>85</v>
      </c>
      <c r="H53" s="2">
        <v>0</v>
      </c>
      <c r="I53" s="19">
        <f>AVERAGE(G53:G54)</f>
        <v>99</v>
      </c>
      <c r="J53" s="19">
        <f t="shared" ref="J53" si="4">I53/10</f>
        <v>9.9</v>
      </c>
      <c r="K53" s="19">
        <f>J53/F53</f>
        <v>0.14887218045112782</v>
      </c>
      <c r="L53" s="23"/>
      <c r="M53" s="28"/>
      <c r="N53" s="8"/>
    </row>
    <row r="54" spans="1:14" x14ac:dyDescent="0.2">
      <c r="A54" s="28"/>
      <c r="B54" s="20"/>
      <c r="C54" s="2">
        <v>2</v>
      </c>
      <c r="D54" s="2">
        <v>61</v>
      </c>
      <c r="E54" s="2">
        <f>1/61*100</f>
        <v>1.639344262295082</v>
      </c>
      <c r="F54" s="19"/>
      <c r="G54" s="5">
        <v>113</v>
      </c>
      <c r="H54" s="2">
        <v>0</v>
      </c>
      <c r="I54" s="19"/>
      <c r="J54" s="19"/>
      <c r="K54" s="19"/>
      <c r="L54" s="23"/>
      <c r="M54" s="28"/>
      <c r="N54" s="8"/>
    </row>
    <row r="55" spans="1:14" x14ac:dyDescent="0.2">
      <c r="A55" s="28"/>
      <c r="B55" s="20">
        <v>5</v>
      </c>
      <c r="C55" s="2">
        <v>1</v>
      </c>
      <c r="D55" s="2">
        <v>83</v>
      </c>
      <c r="E55" s="2">
        <v>0</v>
      </c>
      <c r="F55" s="19">
        <f>AVERAGE(D55:D56)</f>
        <v>81</v>
      </c>
      <c r="G55" s="5">
        <v>166</v>
      </c>
      <c r="H55" s="2">
        <v>0</v>
      </c>
      <c r="I55" s="19">
        <f>AVERAGE(G55:G56)</f>
        <v>164.5</v>
      </c>
      <c r="J55" s="19">
        <f t="shared" ref="J55" si="5">I55/10</f>
        <v>16.45</v>
      </c>
      <c r="K55" s="19">
        <f>J55/F55</f>
        <v>0.20308641975308642</v>
      </c>
      <c r="L55" s="23"/>
      <c r="M55" s="28"/>
      <c r="N55" s="8"/>
    </row>
    <row r="56" spans="1:14" x14ac:dyDescent="0.2">
      <c r="A56" s="28"/>
      <c r="B56" s="20"/>
      <c r="C56" s="2">
        <v>2</v>
      </c>
      <c r="D56" s="2">
        <v>79</v>
      </c>
      <c r="E56" s="2">
        <f>1/79*100</f>
        <v>1.2658227848101267</v>
      </c>
      <c r="F56" s="19"/>
      <c r="G56" s="5">
        <v>163</v>
      </c>
      <c r="H56" s="2">
        <v>0</v>
      </c>
      <c r="I56" s="19"/>
      <c r="J56" s="19"/>
      <c r="K56" s="19"/>
      <c r="L56" s="23"/>
      <c r="M56" s="28"/>
      <c r="N56" s="8"/>
    </row>
    <row r="57" spans="1:14" x14ac:dyDescent="0.2">
      <c r="A57" s="28"/>
      <c r="B57" s="20">
        <v>6</v>
      </c>
      <c r="C57" s="2">
        <v>1</v>
      </c>
      <c r="D57" s="2">
        <v>56</v>
      </c>
      <c r="E57" s="2">
        <f>2/56*100</f>
        <v>3.5714285714285712</v>
      </c>
      <c r="F57" s="19">
        <f>AVERAGE(D57:D58)</f>
        <v>44.5</v>
      </c>
      <c r="G57" s="5">
        <v>56</v>
      </c>
      <c r="H57" s="2">
        <v>0</v>
      </c>
      <c r="I57" s="19">
        <f>AVERAGE(G57:G58)</f>
        <v>52.5</v>
      </c>
      <c r="J57" s="19">
        <f t="shared" ref="J57" si="6">I57/10</f>
        <v>5.25</v>
      </c>
      <c r="K57" s="19">
        <f>J57/F57</f>
        <v>0.11797752808988764</v>
      </c>
      <c r="L57" s="23"/>
      <c r="M57" s="28"/>
      <c r="N57" s="8"/>
    </row>
    <row r="58" spans="1:14" x14ac:dyDescent="0.2">
      <c r="A58" s="29"/>
      <c r="B58" s="20"/>
      <c r="C58" s="2">
        <v>2</v>
      </c>
      <c r="D58" s="2">
        <v>33</v>
      </c>
      <c r="E58" s="2">
        <v>0</v>
      </c>
      <c r="F58" s="19"/>
      <c r="G58" s="5">
        <v>49</v>
      </c>
      <c r="H58" s="2">
        <v>0</v>
      </c>
      <c r="I58" s="19"/>
      <c r="J58" s="19"/>
      <c r="K58" s="19"/>
      <c r="L58" s="24"/>
      <c r="M58" s="29"/>
      <c r="N58" s="8"/>
    </row>
    <row r="59" spans="1:14" x14ac:dyDescent="0.2">
      <c r="A59" s="6"/>
      <c r="B59" s="7"/>
      <c r="C59" s="8"/>
      <c r="D59" s="8"/>
      <c r="E59" s="8"/>
      <c r="F59" s="1"/>
      <c r="G59" s="8"/>
      <c r="H59" s="8"/>
      <c r="I59" s="1"/>
      <c r="J59" s="1"/>
      <c r="K59" s="1"/>
      <c r="L59" s="6"/>
      <c r="M59" s="6"/>
      <c r="N59" s="8"/>
    </row>
    <row r="60" spans="1:14" x14ac:dyDescent="0.2">
      <c r="A60" s="4" t="s">
        <v>12</v>
      </c>
      <c r="B60" s="4" t="s">
        <v>11</v>
      </c>
      <c r="C60" s="4" t="s">
        <v>10</v>
      </c>
      <c r="D60" s="4" t="s">
        <v>9</v>
      </c>
      <c r="E60" s="4" t="s">
        <v>8</v>
      </c>
      <c r="F60" s="4" t="s">
        <v>7</v>
      </c>
      <c r="G60" s="4" t="s">
        <v>6</v>
      </c>
      <c r="H60" s="4" t="s">
        <v>5</v>
      </c>
      <c r="I60" s="4" t="s">
        <v>4</v>
      </c>
      <c r="J60" s="4" t="s">
        <v>3</v>
      </c>
      <c r="K60" s="4" t="s">
        <v>2</v>
      </c>
      <c r="L60" s="3" t="s">
        <v>1</v>
      </c>
      <c r="M60" s="3" t="s">
        <v>0</v>
      </c>
      <c r="N60" s="8"/>
    </row>
    <row r="61" spans="1:14" x14ac:dyDescent="0.2">
      <c r="A61" s="21" t="s">
        <v>17</v>
      </c>
      <c r="B61" s="20">
        <v>1</v>
      </c>
      <c r="C61" s="2">
        <v>1</v>
      </c>
      <c r="D61" s="2">
        <v>380</v>
      </c>
      <c r="E61" s="2">
        <f>3/D61*100</f>
        <v>0.78947368421052633</v>
      </c>
      <c r="F61" s="19">
        <f>AVERAGE(D61:D62)</f>
        <v>394</v>
      </c>
      <c r="G61" s="2">
        <v>268</v>
      </c>
      <c r="H61" s="2">
        <f>15/G61*100</f>
        <v>5.5970149253731343</v>
      </c>
      <c r="I61" s="19">
        <f>AVERAGE(G61:G62)</f>
        <v>249.5</v>
      </c>
      <c r="J61" s="19">
        <f>I61</f>
        <v>249.5</v>
      </c>
      <c r="K61" s="19">
        <f>J61/F61</f>
        <v>0.63324873096446699</v>
      </c>
      <c r="L61" s="21">
        <f>AVERAGE(K61:K66)</f>
        <v>0.73872692149263186</v>
      </c>
      <c r="M61" s="21">
        <f>STDEV(K61:K66)</f>
        <v>0.13417906020438361</v>
      </c>
      <c r="N61" s="8"/>
    </row>
    <row r="62" spans="1:14" x14ac:dyDescent="0.2">
      <c r="A62" s="21"/>
      <c r="B62" s="20"/>
      <c r="C62" s="2">
        <v>2</v>
      </c>
      <c r="D62" s="2">
        <v>408</v>
      </c>
      <c r="E62" s="2">
        <f>2/D62*100</f>
        <v>0.49019607843137253</v>
      </c>
      <c r="F62" s="19"/>
      <c r="G62" s="2">
        <v>231</v>
      </c>
      <c r="H62" s="2">
        <f>20/G62*100</f>
        <v>8.6580086580086579</v>
      </c>
      <c r="I62" s="19"/>
      <c r="J62" s="19"/>
      <c r="K62" s="19"/>
      <c r="L62" s="21"/>
      <c r="M62" s="21"/>
      <c r="N62" s="8"/>
    </row>
    <row r="63" spans="1:14" x14ac:dyDescent="0.2">
      <c r="A63" s="21"/>
      <c r="B63" s="20">
        <v>2</v>
      </c>
      <c r="C63" s="2">
        <v>1</v>
      </c>
      <c r="D63" s="2">
        <v>414</v>
      </c>
      <c r="E63" s="2">
        <f>2/D63*100</f>
        <v>0.48309178743961351</v>
      </c>
      <c r="F63" s="19">
        <f>AVERAGE(D63:D64)</f>
        <v>396</v>
      </c>
      <c r="G63" s="2">
        <v>264</v>
      </c>
      <c r="H63" s="2">
        <f>18/G63*100</f>
        <v>6.8181818181818175</v>
      </c>
      <c r="I63" s="19">
        <f>AVERAGE(G63:G64)</f>
        <v>274.5</v>
      </c>
      <c r="J63" s="19">
        <f>I63</f>
        <v>274.5</v>
      </c>
      <c r="K63" s="19">
        <f>J63/F63</f>
        <v>0.69318181818181823</v>
      </c>
      <c r="L63" s="21"/>
      <c r="M63" s="21"/>
      <c r="N63" s="8"/>
    </row>
    <row r="64" spans="1:14" x14ac:dyDescent="0.2">
      <c r="A64" s="21"/>
      <c r="B64" s="20"/>
      <c r="C64" s="2">
        <v>2</v>
      </c>
      <c r="D64" s="2">
        <v>378</v>
      </c>
      <c r="E64" s="2">
        <f>0/D64*100</f>
        <v>0</v>
      </c>
      <c r="F64" s="19"/>
      <c r="G64" s="2">
        <v>285</v>
      </c>
      <c r="H64" s="2">
        <f>19/G64*100</f>
        <v>6.666666666666667</v>
      </c>
      <c r="I64" s="19"/>
      <c r="J64" s="19"/>
      <c r="K64" s="19"/>
      <c r="L64" s="21"/>
      <c r="M64" s="21"/>
    </row>
    <row r="65" spans="1:14" x14ac:dyDescent="0.2">
      <c r="A65" s="21"/>
      <c r="B65" s="20">
        <v>3</v>
      </c>
      <c r="C65" s="2">
        <v>1</v>
      </c>
      <c r="D65" s="2">
        <v>587</v>
      </c>
      <c r="E65" s="2">
        <f>0/D65*100</f>
        <v>0</v>
      </c>
      <c r="F65" s="19">
        <f>AVERAGE(D65:D66)</f>
        <v>580.5</v>
      </c>
      <c r="G65" s="2">
        <v>575</v>
      </c>
      <c r="H65" s="2">
        <f>66/G65*100</f>
        <v>11.478260869565217</v>
      </c>
      <c r="I65" s="19">
        <f>AVERAGE(G65:G66)</f>
        <v>516.5</v>
      </c>
      <c r="J65" s="19">
        <f>I65</f>
        <v>516.5</v>
      </c>
      <c r="K65" s="19">
        <f>J65/F65</f>
        <v>0.88975021533161069</v>
      </c>
      <c r="L65" s="21"/>
      <c r="M65" s="21"/>
      <c r="N65" s="8"/>
    </row>
    <row r="66" spans="1:14" x14ac:dyDescent="0.2">
      <c r="A66" s="21"/>
      <c r="B66" s="20"/>
      <c r="C66" s="2">
        <v>2</v>
      </c>
      <c r="D66" s="10">
        <v>574</v>
      </c>
      <c r="E66" s="2">
        <f>1/D66*100</f>
        <v>0.17421602787456447</v>
      </c>
      <c r="F66" s="19"/>
      <c r="G66" s="10">
        <v>458</v>
      </c>
      <c r="H66" s="2">
        <f>36/G66*100</f>
        <v>7.860262008733625</v>
      </c>
      <c r="I66" s="19"/>
      <c r="J66" s="19"/>
      <c r="K66" s="19"/>
      <c r="L66" s="21"/>
      <c r="M66" s="21"/>
      <c r="N66" s="8"/>
    </row>
    <row r="67" spans="1:14" x14ac:dyDescent="0.2">
      <c r="A67" s="21"/>
      <c r="B67" s="20">
        <v>4</v>
      </c>
      <c r="C67" s="2">
        <v>1</v>
      </c>
      <c r="D67" s="2">
        <v>717</v>
      </c>
      <c r="E67" s="2">
        <f>0/D67*100</f>
        <v>0</v>
      </c>
      <c r="F67" s="19">
        <f>AVERAGE(D67:D68)</f>
        <v>739.5</v>
      </c>
      <c r="G67" s="2">
        <v>565</v>
      </c>
      <c r="H67" s="2">
        <f>41/G67*100</f>
        <v>7.2566371681415927</v>
      </c>
      <c r="I67" s="19">
        <f>AVERAGE(G67:G68)</f>
        <v>579</v>
      </c>
      <c r="J67" s="19">
        <f>I67</f>
        <v>579</v>
      </c>
      <c r="K67" s="19">
        <f>J67/F67</f>
        <v>0.78296146044624748</v>
      </c>
      <c r="L67" s="21"/>
      <c r="M67" s="21"/>
      <c r="N67" s="8"/>
    </row>
    <row r="68" spans="1:14" x14ac:dyDescent="0.2">
      <c r="A68" s="21"/>
      <c r="B68" s="20"/>
      <c r="C68" s="2">
        <v>2</v>
      </c>
      <c r="D68" s="2">
        <v>762</v>
      </c>
      <c r="E68" s="2">
        <f>0/D68*100</f>
        <v>0</v>
      </c>
      <c r="F68" s="19"/>
      <c r="G68" s="2">
        <v>593</v>
      </c>
      <c r="H68" s="2">
        <f>47/G68*100</f>
        <v>7.925801011804384</v>
      </c>
      <c r="I68" s="19"/>
      <c r="J68" s="19"/>
      <c r="K68" s="19"/>
      <c r="L68" s="21"/>
      <c r="M68" s="21"/>
      <c r="N68" s="8"/>
    </row>
    <row r="69" spans="1:14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1:14" x14ac:dyDescent="0.2">
      <c r="A70" s="4" t="s">
        <v>12</v>
      </c>
      <c r="B70" s="4" t="s">
        <v>11</v>
      </c>
      <c r="C70" s="4" t="s">
        <v>10</v>
      </c>
      <c r="D70" s="4" t="s">
        <v>9</v>
      </c>
      <c r="E70" s="4" t="s">
        <v>8</v>
      </c>
      <c r="F70" s="4" t="s">
        <v>7</v>
      </c>
      <c r="G70" s="4" t="s">
        <v>6</v>
      </c>
      <c r="H70" s="4" t="s">
        <v>5</v>
      </c>
      <c r="I70" s="4" t="s">
        <v>4</v>
      </c>
      <c r="J70" s="4" t="s">
        <v>3</v>
      </c>
      <c r="K70" s="4" t="s">
        <v>2</v>
      </c>
      <c r="L70" s="3" t="s">
        <v>1</v>
      </c>
      <c r="M70" s="3" t="s">
        <v>0</v>
      </c>
      <c r="N70" s="14" t="s">
        <v>16</v>
      </c>
    </row>
    <row r="71" spans="1:14" x14ac:dyDescent="0.2">
      <c r="A71" s="21" t="s">
        <v>18</v>
      </c>
      <c r="B71" s="20">
        <v>1</v>
      </c>
      <c r="C71" s="2">
        <v>1</v>
      </c>
      <c r="D71" s="2">
        <v>112</v>
      </c>
      <c r="E71" s="2">
        <f>1/D71*100</f>
        <v>0.89285714285714279</v>
      </c>
      <c r="F71" s="19">
        <f>AVERAGE(D71:D72)</f>
        <v>96</v>
      </c>
      <c r="G71" s="2">
        <v>59</v>
      </c>
      <c r="H71" s="2">
        <f>2/G71*100</f>
        <v>3.3898305084745761</v>
      </c>
      <c r="I71" s="19">
        <f>AVERAGE(G71:G72)</f>
        <v>50</v>
      </c>
      <c r="J71" s="19">
        <f>I71/10</f>
        <v>5</v>
      </c>
      <c r="K71" s="19">
        <f>J71/F71</f>
        <v>5.2083333333333336E-2</v>
      </c>
      <c r="L71" s="21">
        <f>AVERAGE(K71:K76)</f>
        <v>4.1567973011771467E-2</v>
      </c>
      <c r="M71" s="21">
        <f>STDEV(K71:K76)</f>
        <v>9.110388715793602E-3</v>
      </c>
      <c r="N71" s="8"/>
    </row>
    <row r="72" spans="1:14" x14ac:dyDescent="0.2">
      <c r="A72" s="21"/>
      <c r="B72" s="20"/>
      <c r="C72" s="2">
        <v>2</v>
      </c>
      <c r="D72" s="2">
        <v>80</v>
      </c>
      <c r="E72" s="2">
        <f>0/D72*100</f>
        <v>0</v>
      </c>
      <c r="F72" s="19"/>
      <c r="G72" s="2">
        <v>41</v>
      </c>
      <c r="H72" s="2">
        <f>1/G72*100</f>
        <v>2.4390243902439024</v>
      </c>
      <c r="I72" s="19"/>
      <c r="J72" s="19"/>
      <c r="K72" s="19"/>
      <c r="L72" s="21"/>
      <c r="M72" s="21"/>
      <c r="N72" s="8"/>
    </row>
    <row r="73" spans="1:14" x14ac:dyDescent="0.2">
      <c r="A73" s="21"/>
      <c r="B73" s="20">
        <v>2</v>
      </c>
      <c r="C73" s="2">
        <v>1</v>
      </c>
      <c r="D73" s="2">
        <v>165</v>
      </c>
      <c r="E73" s="2">
        <f>2/D73*100</f>
        <v>1.2121212121212122</v>
      </c>
      <c r="F73" s="19">
        <f>AVERAGE(D73:D74)</f>
        <v>172</v>
      </c>
      <c r="G73" s="2">
        <v>73</v>
      </c>
      <c r="H73" s="2">
        <f>3/G73*100</f>
        <v>4.10958904109589</v>
      </c>
      <c r="I73" s="19">
        <f>AVERAGE(G73:G74)</f>
        <v>62</v>
      </c>
      <c r="J73" s="19">
        <f t="shared" ref="J73" si="7">I73/10</f>
        <v>6.2</v>
      </c>
      <c r="K73" s="19">
        <f>J73/F73</f>
        <v>3.604651162790698E-2</v>
      </c>
      <c r="L73" s="21"/>
      <c r="M73" s="21"/>
      <c r="N73" s="8"/>
    </row>
    <row r="74" spans="1:14" x14ac:dyDescent="0.2">
      <c r="A74" s="21"/>
      <c r="B74" s="20"/>
      <c r="C74" s="2">
        <v>2</v>
      </c>
      <c r="D74" s="2">
        <v>179</v>
      </c>
      <c r="E74" s="2">
        <f>1/D74*100</f>
        <v>0.55865921787709494</v>
      </c>
      <c r="F74" s="19"/>
      <c r="G74" s="2">
        <v>51</v>
      </c>
      <c r="H74" s="2">
        <f>2/G74*100</f>
        <v>3.9215686274509802</v>
      </c>
      <c r="I74" s="19"/>
      <c r="J74" s="19"/>
      <c r="K74" s="19"/>
      <c r="L74" s="21"/>
      <c r="M74" s="21"/>
      <c r="N74" s="8"/>
    </row>
    <row r="75" spans="1:14" x14ac:dyDescent="0.2">
      <c r="A75" s="21"/>
      <c r="B75" s="20">
        <v>3</v>
      </c>
      <c r="C75" s="2">
        <v>1</v>
      </c>
      <c r="D75" s="2">
        <v>125</v>
      </c>
      <c r="E75" s="2">
        <f>0/D75*100</f>
        <v>0</v>
      </c>
      <c r="F75" s="19">
        <f>AVERAGE(D75:D76)</f>
        <v>108</v>
      </c>
      <c r="G75" s="2">
        <v>42</v>
      </c>
      <c r="H75" s="2">
        <f>0/G75*100</f>
        <v>0</v>
      </c>
      <c r="I75" s="19">
        <f>AVERAGE(G75:G76)</f>
        <v>39.5</v>
      </c>
      <c r="J75" s="19">
        <f t="shared" ref="J75" si="8">I75/10</f>
        <v>3.95</v>
      </c>
      <c r="K75" s="19">
        <f>J75/F75</f>
        <v>3.6574074074074078E-2</v>
      </c>
      <c r="L75" s="21"/>
      <c r="M75" s="21"/>
      <c r="N75" s="8"/>
    </row>
    <row r="76" spans="1:14" x14ac:dyDescent="0.2">
      <c r="A76" s="21"/>
      <c r="B76" s="20"/>
      <c r="C76" s="2">
        <v>2</v>
      </c>
      <c r="D76" s="2">
        <v>91</v>
      </c>
      <c r="E76" s="2">
        <f>1/D76*100</f>
        <v>1.098901098901099</v>
      </c>
      <c r="F76" s="19"/>
      <c r="G76" s="2">
        <v>37</v>
      </c>
      <c r="H76" s="2">
        <f>1/G76*100</f>
        <v>2.7027027027027026</v>
      </c>
      <c r="I76" s="19"/>
      <c r="J76" s="19"/>
      <c r="K76" s="19"/>
      <c r="L76" s="21"/>
      <c r="M76" s="21"/>
      <c r="N76" s="8"/>
    </row>
    <row r="77" spans="1:14" x14ac:dyDescent="0.2">
      <c r="A77" s="21"/>
      <c r="B77" s="20">
        <v>4</v>
      </c>
      <c r="C77" s="2">
        <v>1</v>
      </c>
      <c r="D77" s="2">
        <v>225</v>
      </c>
      <c r="E77" s="2">
        <f>3/D77*100</f>
        <v>1.3333333333333335</v>
      </c>
      <c r="F77" s="19">
        <f>AVERAGE(D77:D78)</f>
        <v>230</v>
      </c>
      <c r="G77" s="2">
        <v>72</v>
      </c>
      <c r="H77" s="2">
        <f>2/G77*100</f>
        <v>2.7777777777777777</v>
      </c>
      <c r="I77" s="19">
        <f>AVERAGE(G77:G78)</f>
        <v>72.5</v>
      </c>
      <c r="J77" s="19">
        <f t="shared" ref="J77" si="9">I77/10</f>
        <v>7.25</v>
      </c>
      <c r="K77" s="19">
        <f>J77/F77</f>
        <v>3.1521739130434781E-2</v>
      </c>
      <c r="L77" s="21"/>
      <c r="M77" s="21"/>
      <c r="N77" s="8"/>
    </row>
    <row r="78" spans="1:14" x14ac:dyDescent="0.2">
      <c r="A78" s="21"/>
      <c r="B78" s="20"/>
      <c r="C78" s="2">
        <v>2</v>
      </c>
      <c r="D78" s="2">
        <v>235</v>
      </c>
      <c r="E78" s="2">
        <f>2/D78*100</f>
        <v>0.85106382978723405</v>
      </c>
      <c r="F78" s="19"/>
      <c r="G78" s="2">
        <v>73</v>
      </c>
      <c r="H78" s="2">
        <f>0/G78*100</f>
        <v>0</v>
      </c>
      <c r="I78" s="19"/>
      <c r="J78" s="19"/>
      <c r="K78" s="19"/>
      <c r="L78" s="21"/>
      <c r="M78" s="21"/>
      <c r="N78" s="8"/>
    </row>
    <row r="79" spans="1:14" x14ac:dyDescent="0.2">
      <c r="A79" s="6"/>
      <c r="B79" s="7"/>
      <c r="C79" s="8"/>
      <c r="D79" s="8"/>
      <c r="E79" s="8"/>
      <c r="F79" s="1"/>
      <c r="G79" s="11"/>
      <c r="H79" s="8"/>
      <c r="I79" s="1"/>
      <c r="J79" s="1"/>
      <c r="K79" s="1"/>
      <c r="L79" s="6"/>
      <c r="M79" s="6"/>
      <c r="N79" s="8"/>
    </row>
    <row r="80" spans="1:14" x14ac:dyDescent="0.2">
      <c r="A80" s="4" t="s">
        <v>12</v>
      </c>
      <c r="B80" s="4" t="s">
        <v>11</v>
      </c>
      <c r="C80" s="4" t="s">
        <v>10</v>
      </c>
      <c r="D80" s="4" t="s">
        <v>9</v>
      </c>
      <c r="E80" s="4" t="s">
        <v>8</v>
      </c>
      <c r="F80" s="4" t="s">
        <v>7</v>
      </c>
      <c r="G80" s="4" t="s">
        <v>6</v>
      </c>
      <c r="H80" s="4" t="s">
        <v>5</v>
      </c>
      <c r="I80" s="4" t="s">
        <v>4</v>
      </c>
      <c r="J80" s="4" t="s">
        <v>3</v>
      </c>
      <c r="K80" s="4" t="s">
        <v>2</v>
      </c>
      <c r="L80" s="3" t="s">
        <v>1</v>
      </c>
      <c r="M80" s="3" t="s">
        <v>0</v>
      </c>
      <c r="N80" s="8"/>
    </row>
    <row r="81" spans="1:14" x14ac:dyDescent="0.2">
      <c r="A81" s="27" t="s">
        <v>20</v>
      </c>
      <c r="B81" s="20">
        <v>1</v>
      </c>
      <c r="C81" s="2">
        <v>1</v>
      </c>
      <c r="D81" s="2">
        <v>456</v>
      </c>
      <c r="E81" s="2">
        <f>7/456*100</f>
        <v>1.5350877192982455</v>
      </c>
      <c r="F81" s="19">
        <f>AVERAGE(D81:D82)</f>
        <v>441.5</v>
      </c>
      <c r="G81" s="2">
        <v>443</v>
      </c>
      <c r="H81" s="2">
        <f>14/443*100</f>
        <v>3.1602708803611739</v>
      </c>
      <c r="I81" s="19">
        <f>AVERAGE(G81:G82)</f>
        <v>451.5</v>
      </c>
      <c r="J81" s="19">
        <f>I81</f>
        <v>451.5</v>
      </c>
      <c r="K81" s="19">
        <f>J81/F81</f>
        <v>1.0226500566251415</v>
      </c>
      <c r="L81" s="22">
        <f>AVERAGE(K81:K88)</f>
        <v>1.0039446041919049</v>
      </c>
      <c r="M81" s="22">
        <f>STDEV(K81:K88)</f>
        <v>0.10242444309768557</v>
      </c>
      <c r="N81" s="8"/>
    </row>
    <row r="82" spans="1:14" x14ac:dyDescent="0.2">
      <c r="A82" s="28"/>
      <c r="B82" s="20"/>
      <c r="C82" s="2">
        <v>2</v>
      </c>
      <c r="D82" s="2">
        <v>427</v>
      </c>
      <c r="E82" s="2">
        <f>7/427*100</f>
        <v>1.639344262295082</v>
      </c>
      <c r="F82" s="19"/>
      <c r="G82" s="2">
        <v>460</v>
      </c>
      <c r="H82" s="2">
        <f>17/460*100</f>
        <v>3.6956521739130435</v>
      </c>
      <c r="I82" s="19"/>
      <c r="J82" s="19"/>
      <c r="K82" s="19"/>
      <c r="L82" s="23"/>
      <c r="M82" s="23"/>
      <c r="N82" s="8"/>
    </row>
    <row r="83" spans="1:14" x14ac:dyDescent="0.2">
      <c r="A83" s="28"/>
      <c r="B83" s="20">
        <v>2</v>
      </c>
      <c r="C83" s="2">
        <v>1</v>
      </c>
      <c r="D83" s="2">
        <v>363</v>
      </c>
      <c r="E83" s="2">
        <f>9/363*100</f>
        <v>2.4793388429752068</v>
      </c>
      <c r="F83" s="19">
        <f>AVERAGE(D83:D84)</f>
        <v>371.5</v>
      </c>
      <c r="G83" s="2">
        <v>332</v>
      </c>
      <c r="H83" s="2">
        <f>15/332*100</f>
        <v>4.5180722891566267</v>
      </c>
      <c r="I83" s="19">
        <f>AVERAGE(G83:G84)</f>
        <v>325</v>
      </c>
      <c r="J83" s="19">
        <f>I83</f>
        <v>325</v>
      </c>
      <c r="K83" s="19">
        <f>J83/F83</f>
        <v>0.87483176312247646</v>
      </c>
      <c r="L83" s="23"/>
      <c r="M83" s="23"/>
      <c r="N83" s="8"/>
    </row>
    <row r="84" spans="1:14" x14ac:dyDescent="0.2">
      <c r="A84" s="28"/>
      <c r="B84" s="26"/>
      <c r="C84" s="10">
        <v>2</v>
      </c>
      <c r="D84" s="10">
        <v>380</v>
      </c>
      <c r="E84" s="10">
        <f>3/380*100</f>
        <v>0.78947368421052633</v>
      </c>
      <c r="F84" s="25"/>
      <c r="G84" s="10">
        <v>318</v>
      </c>
      <c r="H84" s="10">
        <f>14/318*100</f>
        <v>4.4025157232704402</v>
      </c>
      <c r="I84" s="25"/>
      <c r="J84" s="19"/>
      <c r="K84" s="25"/>
      <c r="L84" s="23"/>
      <c r="M84" s="23"/>
      <c r="N84" s="8"/>
    </row>
    <row r="85" spans="1:14" x14ac:dyDescent="0.2">
      <c r="A85" s="28"/>
      <c r="B85" s="20">
        <v>3</v>
      </c>
      <c r="C85" s="2">
        <v>1</v>
      </c>
      <c r="D85" s="2">
        <v>266</v>
      </c>
      <c r="E85" s="2">
        <f>3/266*100</f>
        <v>1.1278195488721803</v>
      </c>
      <c r="F85" s="19">
        <f>AVERAGE(D85:D86)</f>
        <v>273</v>
      </c>
      <c r="G85" s="2">
        <v>273</v>
      </c>
      <c r="H85" s="2">
        <f>14/273*100</f>
        <v>5.1282051282051277</v>
      </c>
      <c r="I85" s="19">
        <f>AVERAGE(G85:G86)</f>
        <v>271.5</v>
      </c>
      <c r="J85" s="19">
        <f>I85</f>
        <v>271.5</v>
      </c>
      <c r="K85" s="19">
        <f>J85/F85</f>
        <v>0.99450549450549453</v>
      </c>
      <c r="L85" s="23"/>
      <c r="M85" s="23"/>
      <c r="N85" s="8"/>
    </row>
    <row r="86" spans="1:14" x14ac:dyDescent="0.2">
      <c r="A86" s="28"/>
      <c r="B86" s="20"/>
      <c r="C86" s="2">
        <v>2</v>
      </c>
      <c r="D86" s="2">
        <v>280</v>
      </c>
      <c r="E86" s="2">
        <f>4/280*100</f>
        <v>1.4285714285714286</v>
      </c>
      <c r="F86" s="19"/>
      <c r="G86" s="2">
        <v>270</v>
      </c>
      <c r="H86" s="2">
        <f>9/270*100</f>
        <v>3.3333333333333335</v>
      </c>
      <c r="I86" s="19"/>
      <c r="J86" s="19"/>
      <c r="K86" s="19"/>
      <c r="L86" s="23"/>
      <c r="M86" s="23"/>
      <c r="N86" s="8"/>
    </row>
    <row r="87" spans="1:14" x14ac:dyDescent="0.2">
      <c r="A87" s="28"/>
      <c r="B87" s="20">
        <v>4</v>
      </c>
      <c r="C87" s="2">
        <v>1</v>
      </c>
      <c r="D87" s="2">
        <v>244</v>
      </c>
      <c r="E87" s="2">
        <f>4/244*100</f>
        <v>1.639344262295082</v>
      </c>
      <c r="F87" s="19">
        <f>AVERAGE(D87:D88)</f>
        <v>258.5</v>
      </c>
      <c r="G87" s="2">
        <v>308</v>
      </c>
      <c r="H87" s="2">
        <f>12/308*100</f>
        <v>3.8961038961038961</v>
      </c>
      <c r="I87" s="19">
        <f>AVERAGE(G87:G88)</f>
        <v>290.5</v>
      </c>
      <c r="J87" s="19">
        <f>I87</f>
        <v>290.5</v>
      </c>
      <c r="K87" s="19">
        <f>J87/F87</f>
        <v>1.1237911025145069</v>
      </c>
      <c r="L87" s="23"/>
      <c r="M87" s="23"/>
      <c r="N87" s="8"/>
    </row>
    <row r="88" spans="1:14" x14ac:dyDescent="0.2">
      <c r="A88" s="29"/>
      <c r="B88" s="20"/>
      <c r="C88" s="2">
        <v>2</v>
      </c>
      <c r="D88" s="2">
        <v>273</v>
      </c>
      <c r="E88" s="2">
        <f>3/273*100</f>
        <v>1.098901098901099</v>
      </c>
      <c r="F88" s="19"/>
      <c r="G88" s="2">
        <v>273</v>
      </c>
      <c r="H88" s="2">
        <f>10/273*100</f>
        <v>3.6630036630036633</v>
      </c>
      <c r="I88" s="19"/>
      <c r="J88" s="19"/>
      <c r="K88" s="19"/>
      <c r="L88" s="24"/>
      <c r="M88" s="24"/>
      <c r="N88" s="8"/>
    </row>
    <row r="89" spans="1:14" x14ac:dyDescent="0.2">
      <c r="A89" s="6"/>
      <c r="B89" s="7"/>
      <c r="C89" s="8"/>
      <c r="D89" s="8"/>
      <c r="E89" s="8"/>
      <c r="F89" s="1"/>
      <c r="G89" s="11"/>
      <c r="H89" s="8"/>
      <c r="I89" s="1"/>
      <c r="J89" s="1"/>
      <c r="K89" s="1"/>
      <c r="L89" s="6"/>
      <c r="M89" s="6"/>
      <c r="N89" s="8"/>
    </row>
    <row r="90" spans="1:14" x14ac:dyDescent="0.2">
      <c r="A90" s="4" t="s">
        <v>12</v>
      </c>
      <c r="B90" s="4" t="s">
        <v>11</v>
      </c>
      <c r="C90" s="4" t="s">
        <v>10</v>
      </c>
      <c r="D90" s="4" t="s">
        <v>9</v>
      </c>
      <c r="E90" s="4" t="s">
        <v>8</v>
      </c>
      <c r="F90" s="4" t="s">
        <v>7</v>
      </c>
      <c r="G90" s="4" t="s">
        <v>6</v>
      </c>
      <c r="H90" s="4" t="s">
        <v>5</v>
      </c>
      <c r="I90" s="4" t="s">
        <v>4</v>
      </c>
      <c r="J90" s="4" t="s">
        <v>3</v>
      </c>
      <c r="K90" s="4" t="s">
        <v>2</v>
      </c>
      <c r="L90" s="3" t="s">
        <v>1</v>
      </c>
      <c r="M90" s="3" t="s">
        <v>0</v>
      </c>
      <c r="N90" s="9" t="s">
        <v>16</v>
      </c>
    </row>
    <row r="91" spans="1:14" x14ac:dyDescent="0.2">
      <c r="A91" s="27" t="s">
        <v>19</v>
      </c>
      <c r="B91" s="20">
        <v>1</v>
      </c>
      <c r="C91" s="2">
        <v>1</v>
      </c>
      <c r="D91" s="2">
        <v>95</v>
      </c>
      <c r="E91" s="2">
        <v>0</v>
      </c>
      <c r="F91" s="19">
        <f>AVERAGE(D91:D92)</f>
        <v>87.5</v>
      </c>
      <c r="G91" s="2">
        <v>108</v>
      </c>
      <c r="H91" s="2">
        <v>0</v>
      </c>
      <c r="I91" s="19">
        <f>AVERAGE(G91:G92)</f>
        <v>112</v>
      </c>
      <c r="J91" s="19">
        <f>I91/10</f>
        <v>11.2</v>
      </c>
      <c r="K91" s="19">
        <f>J91/F91</f>
        <v>0.128</v>
      </c>
      <c r="L91" s="22">
        <f>AVERAGE(K91:K96)</f>
        <v>0.12840454973556473</v>
      </c>
      <c r="M91" s="22">
        <f>STDEV(K91:K96)</f>
        <v>2.2330503383907296E-2</v>
      </c>
      <c r="N91" s="8"/>
    </row>
    <row r="92" spans="1:14" x14ac:dyDescent="0.2">
      <c r="A92" s="28"/>
      <c r="B92" s="20"/>
      <c r="C92" s="2">
        <v>2</v>
      </c>
      <c r="D92" s="2">
        <v>80</v>
      </c>
      <c r="E92" s="2">
        <f>2/80*100</f>
        <v>2.5</v>
      </c>
      <c r="F92" s="19"/>
      <c r="G92" s="2">
        <v>116</v>
      </c>
      <c r="H92" s="2">
        <v>0</v>
      </c>
      <c r="I92" s="19"/>
      <c r="J92" s="19"/>
      <c r="K92" s="19"/>
      <c r="L92" s="23"/>
      <c r="M92" s="23"/>
      <c r="N92" s="8"/>
    </row>
    <row r="93" spans="1:14" x14ac:dyDescent="0.2">
      <c r="A93" s="28"/>
      <c r="B93" s="20">
        <v>2</v>
      </c>
      <c r="C93" s="2">
        <v>1</v>
      </c>
      <c r="D93" s="2">
        <v>107</v>
      </c>
      <c r="E93" s="2">
        <v>0</v>
      </c>
      <c r="F93" s="19">
        <f>AVERAGE(D93:D94)</f>
        <v>107</v>
      </c>
      <c r="G93" s="2">
        <v>167</v>
      </c>
      <c r="H93" s="2">
        <v>0</v>
      </c>
      <c r="I93" s="19">
        <f>AVERAGE(G93:G94)</f>
        <v>161.5</v>
      </c>
      <c r="J93" s="19">
        <f t="shared" ref="J93" si="10">I93/10</f>
        <v>16.149999999999999</v>
      </c>
      <c r="K93" s="19">
        <f>J93/F93</f>
        <v>0.15093457943925231</v>
      </c>
      <c r="L93" s="23"/>
      <c r="M93" s="23"/>
      <c r="N93" s="8"/>
    </row>
    <row r="94" spans="1:14" x14ac:dyDescent="0.2">
      <c r="A94" s="28"/>
      <c r="B94" s="26"/>
      <c r="C94" s="10">
        <v>2</v>
      </c>
      <c r="D94" s="10"/>
      <c r="E94" s="10"/>
      <c r="F94" s="25"/>
      <c r="G94" s="10">
        <v>156</v>
      </c>
      <c r="H94" s="10">
        <f>1/156*100</f>
        <v>0.64102564102564097</v>
      </c>
      <c r="I94" s="25"/>
      <c r="J94" s="19"/>
      <c r="K94" s="25"/>
      <c r="L94" s="23"/>
      <c r="M94" s="23"/>
      <c r="N94" s="8"/>
    </row>
    <row r="95" spans="1:14" x14ac:dyDescent="0.2">
      <c r="A95" s="28"/>
      <c r="B95" s="20">
        <v>3</v>
      </c>
      <c r="C95" s="2">
        <v>1</v>
      </c>
      <c r="D95" s="2">
        <v>185</v>
      </c>
      <c r="E95" s="2">
        <v>0</v>
      </c>
      <c r="F95" s="19">
        <f>AVERAGE(D95:D96)</f>
        <v>215</v>
      </c>
      <c r="G95" s="2">
        <v>231</v>
      </c>
      <c r="H95" s="2">
        <v>0</v>
      </c>
      <c r="I95" s="19">
        <f>AVERAGE(G95:G96)</f>
        <v>228.5</v>
      </c>
      <c r="J95" s="19">
        <f t="shared" ref="J95" si="11">I95/10</f>
        <v>22.85</v>
      </c>
      <c r="K95" s="19">
        <f>J95/F95</f>
        <v>0.10627906976744186</v>
      </c>
      <c r="L95" s="23"/>
      <c r="M95" s="23"/>
      <c r="N95" s="8"/>
    </row>
    <row r="96" spans="1:14" x14ac:dyDescent="0.2">
      <c r="A96" s="29"/>
      <c r="B96" s="20"/>
      <c r="C96" s="2">
        <v>2</v>
      </c>
      <c r="D96" s="2">
        <v>245</v>
      </c>
      <c r="E96" s="2">
        <f>1/245*100</f>
        <v>0.40816326530612246</v>
      </c>
      <c r="F96" s="19"/>
      <c r="G96" s="2">
        <v>226</v>
      </c>
      <c r="H96" s="2">
        <v>0</v>
      </c>
      <c r="I96" s="19"/>
      <c r="J96" s="19"/>
      <c r="K96" s="19"/>
      <c r="L96" s="24"/>
      <c r="M96" s="24"/>
      <c r="N96" s="8"/>
    </row>
    <row r="97" spans="1:14" x14ac:dyDescent="0.2">
      <c r="A97" s="6"/>
      <c r="B97" s="7"/>
      <c r="C97" s="8"/>
      <c r="D97" s="8"/>
      <c r="E97" s="8"/>
      <c r="F97" s="1"/>
      <c r="G97" s="8"/>
      <c r="H97" s="8"/>
      <c r="I97" s="1"/>
      <c r="J97" s="1"/>
      <c r="K97" s="1"/>
      <c r="L97" s="6"/>
      <c r="M97" s="6"/>
      <c r="N97" s="8"/>
    </row>
    <row r="98" spans="1:14" x14ac:dyDescent="0.2">
      <c r="A98" s="6"/>
      <c r="B98" s="7"/>
      <c r="C98" s="8"/>
      <c r="D98" s="8"/>
      <c r="E98" s="8"/>
      <c r="F98" s="1"/>
      <c r="G98" s="8"/>
      <c r="H98" s="8"/>
      <c r="I98" s="1"/>
      <c r="J98" s="1"/>
      <c r="K98" s="1"/>
      <c r="L98" s="6"/>
      <c r="M98" s="6"/>
      <c r="N98" s="8"/>
    </row>
    <row r="99" spans="1:14" x14ac:dyDescent="0.2">
      <c r="A99" s="6"/>
      <c r="B99" s="7"/>
      <c r="C99" s="8"/>
      <c r="D99" s="8"/>
      <c r="E99" s="8"/>
      <c r="F99" s="1"/>
      <c r="G99" s="8"/>
      <c r="H99" s="8"/>
      <c r="I99" s="1"/>
      <c r="J99" s="1"/>
      <c r="K99" s="1"/>
      <c r="L99" s="6"/>
      <c r="M99" s="6"/>
      <c r="N99" s="8"/>
    </row>
    <row r="100" spans="1:14" x14ac:dyDescent="0.2">
      <c r="A100" s="6"/>
      <c r="B100" s="7"/>
      <c r="C100" s="8"/>
      <c r="D100" s="8"/>
      <c r="E100" s="8"/>
      <c r="F100" s="1"/>
      <c r="G100" s="8"/>
      <c r="H100" s="8"/>
      <c r="I100" s="1"/>
      <c r="J100" s="1"/>
      <c r="K100" s="1"/>
      <c r="L100" s="6"/>
      <c r="M100" s="6"/>
      <c r="N100" s="8"/>
    </row>
    <row r="101" spans="1:14" x14ac:dyDescent="0.2">
      <c r="A101" s="2" t="s">
        <v>21</v>
      </c>
      <c r="B101" s="2" t="s">
        <v>22</v>
      </c>
      <c r="C101" s="19" t="s">
        <v>23</v>
      </c>
      <c r="D101" s="19"/>
      <c r="E101" s="8"/>
      <c r="F101" s="1"/>
      <c r="G101" s="8"/>
      <c r="H101" s="8"/>
      <c r="I101" s="1"/>
      <c r="J101" s="1"/>
      <c r="K101" s="1"/>
      <c r="L101" s="6"/>
      <c r="M101" s="6"/>
      <c r="N101" s="8"/>
    </row>
    <row r="102" spans="1:14" x14ac:dyDescent="0.2">
      <c r="A102" s="16" t="s">
        <v>25</v>
      </c>
      <c r="B102" s="15">
        <f>TTEST(K2:K13,K18:K31,2,3)</f>
        <v>3.6086278923077103E-7</v>
      </c>
      <c r="C102" s="19" t="s">
        <v>24</v>
      </c>
      <c r="D102" s="19"/>
      <c r="E102" s="8"/>
      <c r="F102" s="1"/>
      <c r="G102" s="8"/>
      <c r="H102" s="8"/>
      <c r="I102" s="1"/>
      <c r="J102" s="1"/>
      <c r="K102" s="1"/>
      <c r="L102" s="6"/>
      <c r="M102" s="6"/>
      <c r="N102" s="8"/>
    </row>
    <row r="103" spans="1:14" x14ac:dyDescent="0.2">
      <c r="A103" s="16" t="s">
        <v>26</v>
      </c>
      <c r="B103" s="15">
        <f>TTEST(K35:K44,K47:K58,2,3)</f>
        <v>2.4764385499623499E-8</v>
      </c>
      <c r="C103" s="19" t="s">
        <v>24</v>
      </c>
      <c r="D103" s="19"/>
      <c r="E103" s="8"/>
      <c r="F103" s="1"/>
      <c r="G103" s="8"/>
      <c r="H103" s="8"/>
      <c r="I103" s="1"/>
      <c r="J103" s="1"/>
      <c r="K103" s="1"/>
      <c r="L103" s="6"/>
      <c r="M103" s="6"/>
      <c r="N103" s="8"/>
    </row>
    <row r="104" spans="1:14" x14ac:dyDescent="0.2">
      <c r="A104" s="16" t="s">
        <v>27</v>
      </c>
      <c r="B104" s="15">
        <f>TTEST(K61:K68,K71:K78,2,3)</f>
        <v>9.9345382919457611E-4</v>
      </c>
      <c r="C104" s="19" t="s">
        <v>34</v>
      </c>
      <c r="D104" s="19"/>
      <c r="E104" s="8"/>
      <c r="F104" s="8"/>
      <c r="G104" s="8"/>
      <c r="H104" s="8"/>
      <c r="I104" s="8"/>
      <c r="J104" s="8"/>
      <c r="K104" s="8"/>
      <c r="L104" s="8"/>
      <c r="M104" s="8"/>
      <c r="N104" s="8"/>
    </row>
    <row r="105" spans="1:14" x14ac:dyDescent="0.2">
      <c r="A105" s="16" t="s">
        <v>28</v>
      </c>
      <c r="B105" s="15">
        <f>TTEST(K81:K88,K91:K96,2,3)</f>
        <v>2.3803026803663474E-4</v>
      </c>
      <c r="C105" s="30" t="s">
        <v>34</v>
      </c>
      <c r="D105" s="30"/>
      <c r="E105" s="12"/>
      <c r="F105" s="12"/>
      <c r="G105" s="12"/>
      <c r="H105" s="12"/>
      <c r="I105" s="12"/>
      <c r="J105" s="12"/>
      <c r="K105" s="12"/>
      <c r="L105" s="13"/>
      <c r="M105" s="13"/>
      <c r="N105" s="13"/>
    </row>
    <row r="106" spans="1:14" x14ac:dyDescent="0.2">
      <c r="A106" s="18" t="s">
        <v>39</v>
      </c>
      <c r="B106" s="15">
        <f>TTEST(K61:K68,K2:K13,2,3)</f>
        <v>6.0344393000318228E-2</v>
      </c>
      <c r="C106" s="19" t="s">
        <v>35</v>
      </c>
      <c r="D106" s="19"/>
      <c r="E106" s="8"/>
      <c r="F106" s="1"/>
      <c r="G106" s="8"/>
      <c r="H106" s="8"/>
      <c r="I106" s="1"/>
      <c r="J106" s="1"/>
      <c r="K106" s="1"/>
      <c r="L106" s="6"/>
      <c r="M106" s="6"/>
      <c r="N106" s="8"/>
    </row>
    <row r="107" spans="1:14" x14ac:dyDescent="0.2">
      <c r="A107" s="18" t="s">
        <v>40</v>
      </c>
      <c r="B107" s="15">
        <f>TTEST(K61:K68,K35:K44,2,3)</f>
        <v>2.5127926630863974E-2</v>
      </c>
      <c r="C107" s="19" t="s">
        <v>37</v>
      </c>
      <c r="D107" s="19"/>
      <c r="E107" s="8"/>
      <c r="F107" s="1"/>
      <c r="G107" s="8"/>
      <c r="H107" s="8"/>
      <c r="I107" s="1"/>
      <c r="J107" s="1"/>
      <c r="K107" s="1"/>
      <c r="L107" s="6"/>
      <c r="M107" s="6"/>
      <c r="N107" s="8"/>
    </row>
    <row r="108" spans="1:14" x14ac:dyDescent="0.2">
      <c r="A108" s="18" t="s">
        <v>41</v>
      </c>
      <c r="B108" s="15">
        <f>TTEST(K61:K68,K81:K88,2,3)</f>
        <v>1.5537885526407443E-2</v>
      </c>
      <c r="C108" s="19" t="s">
        <v>37</v>
      </c>
      <c r="D108" s="19"/>
      <c r="E108" s="8"/>
      <c r="F108" s="1"/>
      <c r="G108" s="8"/>
      <c r="H108" s="8"/>
      <c r="I108" s="1"/>
      <c r="J108" s="1"/>
      <c r="K108" s="1"/>
      <c r="L108" s="6"/>
      <c r="M108" s="6"/>
      <c r="N108" s="8"/>
    </row>
    <row r="109" spans="1:14" x14ac:dyDescent="0.2">
      <c r="A109" s="16" t="s">
        <v>29</v>
      </c>
      <c r="B109" s="15">
        <f>TTEST(K18:K31,K47:K58,2,3)</f>
        <v>1.9902404600768708E-2</v>
      </c>
      <c r="C109" s="19" t="s">
        <v>37</v>
      </c>
      <c r="D109" s="19"/>
      <c r="E109" s="8"/>
      <c r="F109" s="1"/>
      <c r="G109" s="8"/>
      <c r="H109" s="8"/>
      <c r="I109" s="1"/>
      <c r="J109" s="1"/>
      <c r="K109" s="1"/>
      <c r="L109" s="6"/>
      <c r="M109" s="6"/>
      <c r="N109" s="8"/>
    </row>
    <row r="110" spans="1:14" x14ac:dyDescent="0.2">
      <c r="A110" s="17" t="s">
        <v>36</v>
      </c>
      <c r="B110" s="15">
        <f>TTEST(K18:K31,K71:K78,2,3)</f>
        <v>6.0819374303617973E-3</v>
      </c>
      <c r="C110" s="19" t="s">
        <v>38</v>
      </c>
      <c r="D110" s="19"/>
      <c r="E110" s="8"/>
      <c r="F110" s="1"/>
      <c r="G110" s="8"/>
      <c r="H110" s="8"/>
      <c r="I110" s="1"/>
      <c r="J110" s="1"/>
      <c r="K110" s="1"/>
      <c r="L110" s="6"/>
      <c r="M110" s="6"/>
      <c r="N110" s="8"/>
    </row>
    <row r="111" spans="1:14" x14ac:dyDescent="0.2">
      <c r="A111" s="17" t="s">
        <v>30</v>
      </c>
      <c r="B111" s="15">
        <f>TTEST(K18:K31,K91:K96,2,3)</f>
        <v>3.0503178631254034E-2</v>
      </c>
      <c r="C111" s="19" t="s">
        <v>37</v>
      </c>
      <c r="D111" s="19"/>
      <c r="E111" s="8"/>
      <c r="F111" s="1"/>
      <c r="G111" s="8"/>
      <c r="H111" s="8"/>
      <c r="I111" s="1"/>
      <c r="J111" s="1"/>
      <c r="K111" s="1"/>
      <c r="L111" s="6"/>
      <c r="M111" s="6"/>
      <c r="N111" s="8"/>
    </row>
    <row r="112" spans="1:14" x14ac:dyDescent="0.2">
      <c r="A112" s="16" t="s">
        <v>31</v>
      </c>
      <c r="B112" s="15">
        <f>TTEST(K47:K58,K71:K78,2,3)</f>
        <v>2.0618973313871547E-3</v>
      </c>
      <c r="C112" s="19" t="s">
        <v>38</v>
      </c>
      <c r="D112" s="19"/>
      <c r="E112" s="8"/>
      <c r="F112" s="1"/>
      <c r="G112" s="11"/>
      <c r="H112" s="8"/>
      <c r="I112" s="1"/>
      <c r="J112" s="1"/>
      <c r="K112" s="1"/>
      <c r="L112" s="6"/>
      <c r="M112" s="6"/>
      <c r="N112" s="8"/>
    </row>
    <row r="113" spans="1:14" x14ac:dyDescent="0.2">
      <c r="A113" s="16" t="s">
        <v>32</v>
      </c>
      <c r="B113" s="15">
        <f>TTEST(K47:K58,K91:K96,2,3)</f>
        <v>0.75413833807909458</v>
      </c>
      <c r="C113" s="19" t="s">
        <v>35</v>
      </c>
      <c r="D113" s="19"/>
      <c r="E113" s="8"/>
      <c r="F113" s="1"/>
      <c r="G113" s="11"/>
      <c r="H113" s="8"/>
      <c r="I113" s="1"/>
      <c r="J113" s="1"/>
      <c r="K113" s="1"/>
      <c r="L113" s="6"/>
      <c r="M113" s="6"/>
      <c r="N113" s="8"/>
    </row>
    <row r="114" spans="1:14" x14ac:dyDescent="0.2">
      <c r="A114" s="16" t="s">
        <v>33</v>
      </c>
      <c r="B114" s="15">
        <f>TTEST(K71:K78,K91:K96,2,3)</f>
        <v>1.256771767007696E-2</v>
      </c>
      <c r="C114" s="19" t="s">
        <v>37</v>
      </c>
      <c r="D114" s="19"/>
      <c r="E114" s="8"/>
      <c r="F114" s="8"/>
      <c r="G114" s="8"/>
      <c r="H114" s="8"/>
      <c r="I114" s="8"/>
      <c r="J114" s="8"/>
      <c r="K114" s="8"/>
      <c r="L114" s="8"/>
      <c r="M114" s="8"/>
      <c r="N114" s="8"/>
    </row>
    <row r="115" spans="1:14" x14ac:dyDescent="0.2">
      <c r="C115" s="12"/>
      <c r="D115" s="12"/>
      <c r="E115" s="12"/>
      <c r="F115" s="12"/>
      <c r="G115" s="12"/>
      <c r="H115" s="12"/>
      <c r="I115" s="12"/>
      <c r="J115" s="12"/>
      <c r="K115" s="12"/>
      <c r="L115" s="13"/>
      <c r="M115" s="13"/>
      <c r="N115" s="8"/>
    </row>
    <row r="116" spans="1:14" x14ac:dyDescent="0.2">
      <c r="C116" s="8"/>
      <c r="D116" s="8"/>
      <c r="E116" s="8"/>
      <c r="F116" s="1"/>
      <c r="G116" s="8"/>
      <c r="H116" s="8"/>
      <c r="I116" s="1"/>
      <c r="J116" s="1"/>
      <c r="K116" s="1"/>
      <c r="L116" s="6"/>
      <c r="M116" s="6"/>
      <c r="N116" s="8"/>
    </row>
    <row r="117" spans="1:14" x14ac:dyDescent="0.2">
      <c r="A117" s="6"/>
      <c r="B117" s="7"/>
      <c r="C117" s="8"/>
      <c r="D117" s="8"/>
      <c r="E117" s="8"/>
      <c r="F117" s="1"/>
      <c r="G117" s="8"/>
      <c r="H117" s="8"/>
      <c r="I117" s="1"/>
      <c r="J117" s="1"/>
      <c r="K117" s="1"/>
      <c r="L117" s="6"/>
      <c r="M117" s="6"/>
      <c r="N117" s="8"/>
    </row>
    <row r="118" spans="1:14" x14ac:dyDescent="0.2">
      <c r="A118" s="6"/>
      <c r="B118" s="7"/>
      <c r="C118" s="8"/>
      <c r="D118" s="8"/>
      <c r="E118" s="8"/>
      <c r="F118" s="1"/>
      <c r="G118" s="8"/>
      <c r="H118" s="8"/>
      <c r="I118" s="1"/>
      <c r="J118" s="1"/>
      <c r="K118" s="1"/>
      <c r="L118" s="6"/>
      <c r="M118" s="6"/>
      <c r="N118" s="8"/>
    </row>
    <row r="119" spans="1:14" x14ac:dyDescent="0.2">
      <c r="C119" s="8"/>
      <c r="D119" s="8"/>
      <c r="E119" s="8"/>
      <c r="F119" s="1"/>
      <c r="G119" s="8"/>
      <c r="H119" s="8"/>
      <c r="I119" s="1"/>
      <c r="J119" s="1"/>
      <c r="K119" s="1"/>
      <c r="L119" s="6"/>
      <c r="M119" s="6"/>
      <c r="N119" s="8"/>
    </row>
    <row r="120" spans="1:14" x14ac:dyDescent="0.2">
      <c r="C120" s="8"/>
      <c r="D120" s="8"/>
      <c r="E120" s="8"/>
      <c r="F120" s="1"/>
      <c r="G120" s="8"/>
      <c r="H120" s="8"/>
      <c r="I120" s="1"/>
      <c r="J120" s="1"/>
      <c r="K120" s="1"/>
      <c r="L120" s="6"/>
      <c r="M120" s="6"/>
      <c r="N120" s="8"/>
    </row>
    <row r="121" spans="1:14" x14ac:dyDescent="0.2">
      <c r="C121" s="8"/>
      <c r="D121" s="8"/>
      <c r="E121" s="8"/>
      <c r="F121" s="1"/>
      <c r="G121" s="8"/>
      <c r="H121" s="8"/>
      <c r="I121" s="1"/>
      <c r="J121" s="1"/>
      <c r="K121" s="1"/>
      <c r="L121" s="6"/>
      <c r="M121" s="6"/>
      <c r="N121" s="8"/>
    </row>
    <row r="122" spans="1:14" x14ac:dyDescent="0.2">
      <c r="A122" s="6"/>
      <c r="B122" s="7"/>
      <c r="C122" s="8"/>
      <c r="D122" s="8"/>
      <c r="E122" s="8"/>
      <c r="F122" s="1"/>
      <c r="G122" s="8"/>
      <c r="H122" s="8"/>
      <c r="I122" s="1"/>
      <c r="J122" s="1"/>
      <c r="K122" s="1"/>
      <c r="L122" s="6"/>
      <c r="M122" s="6"/>
      <c r="N122" s="8"/>
    </row>
    <row r="123" spans="1:14" x14ac:dyDescent="0.2">
      <c r="A123" s="6"/>
      <c r="B123" s="7"/>
      <c r="C123" s="8"/>
      <c r="D123" s="8"/>
      <c r="E123" s="8"/>
      <c r="F123" s="1"/>
      <c r="G123" s="8"/>
      <c r="H123" s="8"/>
      <c r="I123" s="1"/>
      <c r="J123" s="1"/>
      <c r="K123" s="1"/>
      <c r="L123" s="6"/>
      <c r="M123" s="6"/>
      <c r="N123" s="8"/>
    </row>
    <row r="124" spans="1:14" x14ac:dyDescent="0.2">
      <c r="A124" s="6"/>
      <c r="B124" s="7"/>
      <c r="C124" s="8"/>
      <c r="D124" s="8"/>
      <c r="E124" s="8"/>
      <c r="F124" s="1"/>
      <c r="G124" s="8"/>
      <c r="H124" s="8"/>
      <c r="I124" s="1"/>
      <c r="J124" s="1"/>
      <c r="K124" s="1"/>
      <c r="L124" s="6"/>
      <c r="M124" s="6"/>
      <c r="N124" s="8"/>
    </row>
    <row r="125" spans="1:14" x14ac:dyDescent="0.2">
      <c r="A125" s="6"/>
      <c r="B125" s="7"/>
      <c r="C125" s="8"/>
      <c r="D125" s="8"/>
      <c r="E125" s="8"/>
      <c r="F125" s="1"/>
      <c r="G125" s="8"/>
      <c r="H125" s="8"/>
      <c r="I125" s="1"/>
      <c r="J125" s="1"/>
      <c r="K125" s="1"/>
      <c r="L125" s="6"/>
      <c r="M125" s="6"/>
      <c r="N125" s="8"/>
    </row>
    <row r="126" spans="1:14" x14ac:dyDescent="0.2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</row>
    <row r="127" spans="1:14" x14ac:dyDescent="0.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3"/>
      <c r="M127" s="13"/>
      <c r="N127" s="13"/>
    </row>
    <row r="128" spans="1:14" x14ac:dyDescent="0.2">
      <c r="A128" s="6"/>
      <c r="B128" s="7"/>
      <c r="C128" s="8"/>
      <c r="D128" s="8"/>
      <c r="E128" s="8"/>
      <c r="F128" s="1"/>
      <c r="G128" s="8"/>
      <c r="H128" s="8"/>
      <c r="I128" s="1"/>
      <c r="J128" s="1"/>
      <c r="K128" s="1"/>
      <c r="L128" s="6"/>
      <c r="M128" s="6"/>
      <c r="N128" s="8"/>
    </row>
    <row r="129" spans="1:14" x14ac:dyDescent="0.2">
      <c r="A129" s="6"/>
      <c r="B129" s="7"/>
      <c r="C129" s="8"/>
      <c r="D129" s="8"/>
      <c r="E129" s="8"/>
      <c r="F129" s="1"/>
      <c r="G129" s="8"/>
      <c r="H129" s="8"/>
      <c r="I129" s="1"/>
      <c r="J129" s="1"/>
      <c r="K129" s="1"/>
      <c r="L129" s="6"/>
      <c r="M129" s="6"/>
      <c r="N129" s="8"/>
    </row>
    <row r="130" spans="1:14" x14ac:dyDescent="0.2">
      <c r="A130" s="6"/>
      <c r="B130" s="7"/>
      <c r="C130" s="8"/>
      <c r="D130" s="8"/>
      <c r="E130" s="8"/>
      <c r="F130" s="1"/>
      <c r="G130" s="8"/>
      <c r="H130" s="8"/>
      <c r="I130" s="1"/>
      <c r="J130" s="1"/>
      <c r="K130" s="1"/>
      <c r="L130" s="6"/>
      <c r="M130" s="6"/>
      <c r="N130" s="8"/>
    </row>
    <row r="131" spans="1:14" x14ac:dyDescent="0.2">
      <c r="A131" s="6"/>
      <c r="B131" s="7"/>
      <c r="C131" s="8"/>
      <c r="D131" s="8"/>
      <c r="E131" s="8"/>
      <c r="F131" s="1"/>
      <c r="G131" s="8"/>
      <c r="H131" s="8"/>
      <c r="I131" s="1"/>
      <c r="J131" s="1"/>
      <c r="K131" s="1"/>
      <c r="L131" s="6"/>
      <c r="M131" s="6"/>
      <c r="N131" s="8"/>
    </row>
    <row r="132" spans="1:14" x14ac:dyDescent="0.2">
      <c r="A132" s="6"/>
      <c r="B132" s="7"/>
      <c r="C132" s="8"/>
      <c r="D132" s="8"/>
      <c r="E132" s="8"/>
      <c r="F132" s="1"/>
      <c r="G132" s="8"/>
      <c r="H132" s="8"/>
      <c r="I132" s="1"/>
      <c r="J132" s="1"/>
      <c r="K132" s="1"/>
      <c r="L132" s="6"/>
      <c r="M132" s="6"/>
      <c r="N132" s="8"/>
    </row>
    <row r="133" spans="1:14" x14ac:dyDescent="0.2">
      <c r="A133" s="6"/>
      <c r="B133" s="7"/>
      <c r="C133" s="8"/>
      <c r="D133" s="8"/>
      <c r="E133" s="8"/>
      <c r="F133" s="1"/>
      <c r="G133" s="8"/>
      <c r="H133" s="8"/>
      <c r="I133" s="1"/>
      <c r="J133" s="1"/>
      <c r="K133" s="1"/>
      <c r="L133" s="6"/>
      <c r="M133" s="6"/>
      <c r="N133" s="8"/>
    </row>
    <row r="134" spans="1:14" x14ac:dyDescent="0.2">
      <c r="A134" s="6"/>
      <c r="B134" s="7"/>
      <c r="C134" s="8"/>
      <c r="D134" s="8"/>
      <c r="E134" s="8"/>
      <c r="F134" s="1"/>
      <c r="G134" s="11"/>
      <c r="H134" s="8"/>
      <c r="I134" s="1"/>
      <c r="J134" s="1"/>
      <c r="K134" s="1"/>
      <c r="L134" s="6"/>
      <c r="M134" s="6"/>
      <c r="N134" s="8"/>
    </row>
    <row r="135" spans="1:14" x14ac:dyDescent="0.2">
      <c r="A135" s="6"/>
      <c r="B135" s="7"/>
      <c r="C135" s="8"/>
      <c r="D135" s="8"/>
      <c r="E135" s="8"/>
      <c r="F135" s="1"/>
      <c r="G135" s="11"/>
      <c r="H135" s="8"/>
      <c r="I135" s="1"/>
      <c r="J135" s="1"/>
      <c r="K135" s="1"/>
      <c r="L135" s="6"/>
      <c r="M135" s="6"/>
      <c r="N135" s="8"/>
    </row>
    <row r="136" spans="1:14" x14ac:dyDescent="0.2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</row>
    <row r="137" spans="1:14" x14ac:dyDescent="0.2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3"/>
      <c r="M137" s="13"/>
      <c r="N137" s="8"/>
    </row>
    <row r="138" spans="1:14" x14ac:dyDescent="0.2">
      <c r="A138" s="6"/>
      <c r="B138" s="7"/>
      <c r="C138" s="8"/>
      <c r="D138" s="8"/>
      <c r="E138" s="8"/>
      <c r="F138" s="1"/>
      <c r="G138" s="8"/>
      <c r="H138" s="8"/>
      <c r="I138" s="1"/>
      <c r="J138" s="1"/>
      <c r="K138" s="1"/>
      <c r="L138" s="6"/>
      <c r="M138" s="6"/>
      <c r="N138" s="8"/>
    </row>
    <row r="139" spans="1:14" x14ac:dyDescent="0.2">
      <c r="A139" s="6"/>
      <c r="B139" s="7"/>
      <c r="C139" s="8"/>
      <c r="D139" s="8"/>
      <c r="E139" s="8"/>
      <c r="F139" s="1"/>
      <c r="G139" s="8"/>
      <c r="H139" s="8"/>
      <c r="I139" s="1"/>
      <c r="J139" s="1"/>
      <c r="K139" s="1"/>
      <c r="L139" s="6"/>
      <c r="M139" s="6"/>
      <c r="N139" s="8"/>
    </row>
    <row r="140" spans="1:14" x14ac:dyDescent="0.2">
      <c r="A140" s="6"/>
      <c r="B140" s="7"/>
      <c r="C140" s="8"/>
      <c r="D140" s="8"/>
      <c r="E140" s="8"/>
      <c r="F140" s="1"/>
      <c r="G140" s="8"/>
      <c r="H140" s="8"/>
      <c r="I140" s="1"/>
      <c r="J140" s="1"/>
      <c r="K140" s="1"/>
      <c r="L140" s="6"/>
      <c r="M140" s="6"/>
      <c r="N140" s="8"/>
    </row>
    <row r="141" spans="1:14" x14ac:dyDescent="0.2">
      <c r="A141" s="6"/>
      <c r="B141" s="7"/>
      <c r="C141" s="8"/>
      <c r="D141" s="8"/>
      <c r="E141" s="8"/>
      <c r="F141" s="1"/>
      <c r="G141" s="8"/>
      <c r="H141" s="8"/>
      <c r="I141" s="1"/>
      <c r="J141" s="1"/>
      <c r="K141" s="1"/>
      <c r="L141" s="6"/>
      <c r="M141" s="6"/>
      <c r="N141" s="8"/>
    </row>
    <row r="142" spans="1:14" x14ac:dyDescent="0.2">
      <c r="A142" s="6"/>
      <c r="B142" s="7"/>
      <c r="C142" s="8"/>
      <c r="D142" s="8"/>
      <c r="E142" s="8"/>
      <c r="F142" s="1"/>
      <c r="G142" s="8"/>
      <c r="H142" s="8"/>
      <c r="I142" s="1"/>
      <c r="J142" s="1"/>
      <c r="K142" s="1"/>
      <c r="L142" s="6"/>
      <c r="M142" s="6"/>
      <c r="N142" s="8"/>
    </row>
    <row r="143" spans="1:14" x14ac:dyDescent="0.2">
      <c r="A143" s="6"/>
      <c r="B143" s="7"/>
      <c r="C143" s="8"/>
      <c r="D143" s="8"/>
      <c r="E143" s="8"/>
      <c r="F143" s="1"/>
      <c r="G143" s="8"/>
      <c r="H143" s="8"/>
      <c r="I143" s="1"/>
      <c r="J143" s="1"/>
      <c r="K143" s="1"/>
      <c r="L143" s="6"/>
      <c r="M143" s="6"/>
      <c r="N143" s="8"/>
    </row>
    <row r="144" spans="1:14" x14ac:dyDescent="0.2">
      <c r="A144" s="6"/>
      <c r="B144" s="7"/>
      <c r="C144" s="8"/>
      <c r="D144" s="8"/>
      <c r="E144" s="8"/>
      <c r="F144" s="1"/>
      <c r="G144" s="8"/>
      <c r="H144" s="8"/>
      <c r="I144" s="1"/>
      <c r="J144" s="1"/>
      <c r="K144" s="1"/>
      <c r="L144" s="6"/>
      <c r="M144" s="6"/>
      <c r="N144" s="8"/>
    </row>
    <row r="145" spans="1:14" x14ac:dyDescent="0.2">
      <c r="A145" s="6"/>
      <c r="B145" s="7"/>
      <c r="C145" s="8"/>
      <c r="D145" s="8"/>
      <c r="E145" s="8"/>
      <c r="F145" s="1"/>
      <c r="G145" s="8"/>
      <c r="H145" s="8"/>
      <c r="I145" s="1"/>
      <c r="J145" s="1"/>
      <c r="K145" s="1"/>
      <c r="L145" s="6"/>
      <c r="M145" s="6"/>
      <c r="N145" s="8"/>
    </row>
    <row r="146" spans="1:14" x14ac:dyDescent="0.2">
      <c r="A146" s="6"/>
      <c r="B146" s="7"/>
      <c r="C146" s="8"/>
      <c r="D146" s="8"/>
      <c r="E146" s="8"/>
      <c r="F146" s="1"/>
      <c r="G146" s="8"/>
      <c r="H146" s="8"/>
      <c r="I146" s="1"/>
      <c r="J146" s="1"/>
      <c r="K146" s="1"/>
      <c r="L146" s="6"/>
      <c r="M146" s="6"/>
      <c r="N146" s="8"/>
    </row>
    <row r="147" spans="1:14" x14ac:dyDescent="0.2">
      <c r="A147" s="6"/>
      <c r="B147" s="7"/>
      <c r="C147" s="8"/>
      <c r="D147" s="8"/>
      <c r="E147" s="8"/>
      <c r="F147" s="1"/>
      <c r="G147" s="8"/>
      <c r="H147" s="8"/>
      <c r="I147" s="1"/>
      <c r="J147" s="1"/>
      <c r="K147" s="1"/>
      <c r="L147" s="6"/>
      <c r="M147" s="6"/>
      <c r="N147" s="8"/>
    </row>
    <row r="148" spans="1:14" x14ac:dyDescent="0.2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</row>
    <row r="149" spans="1:14" x14ac:dyDescent="0.2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3"/>
      <c r="M149" s="13"/>
      <c r="N149" s="13"/>
    </row>
    <row r="150" spans="1:14" x14ac:dyDescent="0.2">
      <c r="A150" s="6"/>
      <c r="B150" s="7"/>
      <c r="C150" s="8"/>
      <c r="D150" s="8"/>
      <c r="E150" s="8"/>
      <c r="F150" s="1"/>
      <c r="G150" s="8"/>
      <c r="H150" s="8"/>
      <c r="I150" s="1"/>
      <c r="J150" s="1"/>
      <c r="K150" s="1"/>
      <c r="L150" s="6"/>
      <c r="M150" s="6"/>
      <c r="N150" s="8"/>
    </row>
    <row r="151" spans="1:14" x14ac:dyDescent="0.2">
      <c r="A151" s="6"/>
      <c r="B151" s="7"/>
      <c r="C151" s="8"/>
      <c r="D151" s="8"/>
      <c r="E151" s="8"/>
      <c r="F151" s="1"/>
      <c r="G151" s="8"/>
      <c r="H151" s="8"/>
      <c r="I151" s="1"/>
      <c r="J151" s="1"/>
      <c r="K151" s="1"/>
      <c r="L151" s="6"/>
      <c r="M151" s="6"/>
      <c r="N151" s="8"/>
    </row>
    <row r="152" spans="1:14" x14ac:dyDescent="0.2">
      <c r="A152" s="6"/>
      <c r="B152" s="7"/>
      <c r="C152" s="8"/>
      <c r="D152" s="8"/>
      <c r="E152" s="8"/>
      <c r="F152" s="1"/>
      <c r="G152" s="8"/>
      <c r="H152" s="8"/>
      <c r="I152" s="1"/>
      <c r="J152" s="1"/>
      <c r="K152" s="1"/>
      <c r="L152" s="6"/>
      <c r="M152" s="6"/>
      <c r="N152" s="8"/>
    </row>
    <row r="153" spans="1:14" x14ac:dyDescent="0.2">
      <c r="A153" s="6"/>
      <c r="B153" s="7"/>
      <c r="C153" s="8"/>
      <c r="D153" s="8"/>
      <c r="E153" s="8"/>
      <c r="F153" s="1"/>
      <c r="G153" s="8"/>
      <c r="H153" s="8"/>
      <c r="I153" s="1"/>
      <c r="J153" s="1"/>
      <c r="K153" s="1"/>
      <c r="L153" s="6"/>
      <c r="M153" s="6"/>
      <c r="N153" s="8"/>
    </row>
    <row r="154" spans="1:14" x14ac:dyDescent="0.2">
      <c r="A154" s="6"/>
      <c r="B154" s="7"/>
      <c r="C154" s="8"/>
      <c r="D154" s="8"/>
      <c r="E154" s="8"/>
      <c r="F154" s="1"/>
      <c r="G154" s="8"/>
      <c r="H154" s="8"/>
      <c r="I154" s="1"/>
      <c r="J154" s="1"/>
      <c r="K154" s="1"/>
      <c r="L154" s="6"/>
      <c r="M154" s="6"/>
      <c r="N154" s="8"/>
    </row>
    <row r="155" spans="1:14" x14ac:dyDescent="0.2">
      <c r="A155" s="6"/>
      <c r="B155" s="7"/>
      <c r="C155" s="8"/>
      <c r="D155" s="8"/>
      <c r="E155" s="8"/>
      <c r="F155" s="1"/>
      <c r="G155" s="8"/>
      <c r="H155" s="8"/>
      <c r="I155" s="1"/>
      <c r="J155" s="1"/>
      <c r="K155" s="1"/>
      <c r="L155" s="6"/>
      <c r="M155" s="6"/>
      <c r="N155" s="8"/>
    </row>
    <row r="156" spans="1:14" x14ac:dyDescent="0.2">
      <c r="A156" s="6"/>
      <c r="B156" s="7"/>
      <c r="C156" s="8"/>
      <c r="D156" s="8"/>
      <c r="E156" s="8"/>
      <c r="F156" s="1"/>
      <c r="G156" s="11"/>
      <c r="H156" s="8"/>
      <c r="I156" s="1"/>
      <c r="J156" s="1"/>
      <c r="K156" s="1"/>
      <c r="L156" s="6"/>
      <c r="M156" s="6"/>
      <c r="N156" s="8"/>
    </row>
    <row r="157" spans="1:14" x14ac:dyDescent="0.2">
      <c r="A157" s="6"/>
      <c r="B157" s="7"/>
      <c r="C157" s="8"/>
      <c r="D157" s="8"/>
      <c r="E157" s="8"/>
      <c r="F157" s="1"/>
      <c r="G157" s="11"/>
      <c r="H157" s="8"/>
      <c r="I157" s="1"/>
      <c r="J157" s="1"/>
      <c r="K157" s="1"/>
      <c r="L157" s="6"/>
      <c r="M157" s="6"/>
      <c r="N157" s="8"/>
    </row>
    <row r="158" spans="1:14" x14ac:dyDescent="0.2">
      <c r="A158" s="6"/>
      <c r="B158" s="7"/>
      <c r="C158" s="8"/>
      <c r="D158" s="8"/>
      <c r="E158" s="8"/>
      <c r="F158" s="1"/>
      <c r="G158" s="11"/>
      <c r="H158" s="8"/>
      <c r="I158" s="1"/>
      <c r="J158" s="1"/>
      <c r="K158" s="1"/>
      <c r="L158" s="6"/>
      <c r="M158" s="6"/>
      <c r="N158" s="8"/>
    </row>
    <row r="159" spans="1:14" x14ac:dyDescent="0.2">
      <c r="A159" s="6"/>
      <c r="B159" s="7"/>
      <c r="C159" s="8"/>
      <c r="D159" s="8"/>
      <c r="E159" s="8"/>
      <c r="F159" s="1"/>
      <c r="G159" s="11"/>
      <c r="H159" s="8"/>
      <c r="I159" s="1"/>
      <c r="J159" s="1"/>
      <c r="K159" s="1"/>
      <c r="L159" s="6"/>
      <c r="M159" s="6"/>
      <c r="N159" s="8"/>
    </row>
    <row r="160" spans="1:14" x14ac:dyDescent="0.2">
      <c r="A160" s="6"/>
      <c r="B160" s="7"/>
      <c r="C160" s="8"/>
      <c r="D160" s="8"/>
      <c r="E160" s="8"/>
      <c r="F160" s="1"/>
      <c r="G160" s="11"/>
      <c r="H160" s="8"/>
      <c r="I160" s="1"/>
      <c r="J160" s="1"/>
      <c r="K160" s="1"/>
      <c r="L160" s="6"/>
      <c r="M160" s="6"/>
      <c r="N160" s="8"/>
    </row>
    <row r="161" spans="1:14" x14ac:dyDescent="0.2">
      <c r="A161" s="6"/>
      <c r="B161" s="7"/>
      <c r="C161" s="8"/>
      <c r="D161" s="8"/>
      <c r="E161" s="8"/>
      <c r="F161" s="1"/>
      <c r="G161" s="11"/>
      <c r="H161" s="8"/>
      <c r="I161" s="1"/>
      <c r="J161" s="1"/>
      <c r="K161" s="1"/>
      <c r="L161" s="6"/>
      <c r="M161" s="6"/>
      <c r="N161" s="8"/>
    </row>
    <row r="162" spans="1:14" x14ac:dyDescent="0.2">
      <c r="A162" s="6"/>
      <c r="B162" s="7"/>
      <c r="C162" s="8"/>
      <c r="D162" s="8"/>
      <c r="E162" s="8"/>
      <c r="F162" s="1"/>
      <c r="G162" s="11"/>
      <c r="H162" s="8"/>
      <c r="I162" s="1"/>
      <c r="J162" s="1"/>
      <c r="K162" s="1"/>
      <c r="L162" s="6"/>
      <c r="M162" s="6"/>
      <c r="N162" s="8"/>
    </row>
    <row r="163" spans="1:14" x14ac:dyDescent="0.2">
      <c r="A163" s="6"/>
      <c r="B163" s="7"/>
      <c r="C163" s="8"/>
      <c r="D163" s="8"/>
      <c r="E163" s="8"/>
      <c r="F163" s="1"/>
      <c r="G163" s="11"/>
      <c r="H163" s="8"/>
      <c r="I163" s="1"/>
      <c r="J163" s="1"/>
      <c r="K163" s="1"/>
      <c r="L163" s="6"/>
      <c r="M163" s="6"/>
      <c r="N163" s="8"/>
    </row>
    <row r="164" spans="1:14" x14ac:dyDescent="0.2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</row>
    <row r="165" spans="1:14" x14ac:dyDescent="0.2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3"/>
      <c r="M165" s="13"/>
      <c r="N165" s="8"/>
    </row>
    <row r="166" spans="1:14" x14ac:dyDescent="0.2">
      <c r="A166" s="6"/>
      <c r="B166" s="7"/>
      <c r="C166" s="8"/>
      <c r="D166" s="8"/>
      <c r="E166" s="8"/>
      <c r="F166" s="1"/>
      <c r="G166" s="8"/>
      <c r="H166" s="8"/>
      <c r="I166" s="1"/>
      <c r="J166" s="1"/>
      <c r="K166" s="1"/>
      <c r="L166" s="6"/>
      <c r="M166" s="6"/>
      <c r="N166" s="8"/>
    </row>
    <row r="167" spans="1:14" x14ac:dyDescent="0.2">
      <c r="A167" s="6"/>
      <c r="B167" s="7"/>
      <c r="C167" s="8"/>
      <c r="D167" s="8"/>
      <c r="E167" s="8"/>
      <c r="F167" s="1"/>
      <c r="G167" s="8"/>
      <c r="H167" s="8"/>
      <c r="I167" s="1"/>
      <c r="J167" s="1"/>
      <c r="K167" s="1"/>
      <c r="L167" s="6"/>
      <c r="M167" s="6"/>
      <c r="N167" s="8"/>
    </row>
    <row r="168" spans="1:14" x14ac:dyDescent="0.2">
      <c r="A168" s="6"/>
      <c r="B168" s="7"/>
      <c r="C168" s="8"/>
      <c r="D168" s="8"/>
      <c r="E168" s="8"/>
      <c r="F168" s="1"/>
      <c r="G168" s="8"/>
      <c r="H168" s="8"/>
      <c r="I168" s="1"/>
      <c r="J168" s="1"/>
      <c r="K168" s="1"/>
      <c r="L168" s="6"/>
      <c r="M168" s="6"/>
      <c r="N168" s="8"/>
    </row>
    <row r="169" spans="1:14" x14ac:dyDescent="0.2">
      <c r="A169" s="6"/>
      <c r="B169" s="7"/>
      <c r="C169" s="8"/>
      <c r="D169" s="8"/>
      <c r="E169" s="8"/>
      <c r="F169" s="1"/>
      <c r="G169" s="8"/>
      <c r="H169" s="8"/>
      <c r="I169" s="1"/>
      <c r="J169" s="1"/>
      <c r="K169" s="1"/>
      <c r="L169" s="6"/>
      <c r="M169" s="6"/>
      <c r="N169" s="8"/>
    </row>
    <row r="170" spans="1:14" x14ac:dyDescent="0.2">
      <c r="A170" s="6"/>
      <c r="B170" s="7"/>
      <c r="C170" s="8"/>
      <c r="D170" s="8"/>
      <c r="E170" s="8"/>
      <c r="F170" s="1"/>
      <c r="G170" s="8"/>
      <c r="H170" s="8"/>
      <c r="I170" s="1"/>
      <c r="J170" s="1"/>
      <c r="K170" s="1"/>
      <c r="L170" s="6"/>
      <c r="M170" s="6"/>
      <c r="N170" s="8"/>
    </row>
    <row r="171" spans="1:14" x14ac:dyDescent="0.2">
      <c r="A171" s="6"/>
      <c r="B171" s="7"/>
      <c r="C171" s="8"/>
      <c r="D171" s="8"/>
      <c r="E171" s="8"/>
      <c r="F171" s="1"/>
      <c r="G171" s="8"/>
      <c r="H171" s="8"/>
      <c r="I171" s="1"/>
      <c r="J171" s="1"/>
      <c r="K171" s="1"/>
      <c r="L171" s="6"/>
      <c r="M171" s="6"/>
      <c r="N171" s="8"/>
    </row>
    <row r="172" spans="1:14" x14ac:dyDescent="0.2">
      <c r="A172" s="6"/>
      <c r="B172" s="7"/>
      <c r="C172" s="8"/>
      <c r="D172" s="8"/>
      <c r="E172" s="8"/>
      <c r="F172" s="1"/>
      <c r="G172" s="8"/>
      <c r="H172" s="8"/>
      <c r="I172" s="1"/>
      <c r="J172" s="1"/>
      <c r="K172" s="1"/>
      <c r="L172" s="6"/>
      <c r="M172" s="6"/>
      <c r="N172" s="8"/>
    </row>
    <row r="173" spans="1:14" x14ac:dyDescent="0.2">
      <c r="A173" s="6"/>
      <c r="B173" s="7"/>
      <c r="C173" s="8"/>
      <c r="D173" s="8"/>
      <c r="E173" s="8"/>
      <c r="F173" s="1"/>
      <c r="G173" s="8"/>
      <c r="H173" s="8"/>
      <c r="I173" s="1"/>
      <c r="J173" s="1"/>
      <c r="K173" s="1"/>
      <c r="L173" s="6"/>
      <c r="M173" s="6"/>
      <c r="N173" s="8"/>
    </row>
    <row r="174" spans="1:14" x14ac:dyDescent="0.2">
      <c r="A174" s="6"/>
      <c r="B174" s="7"/>
      <c r="C174" s="8"/>
      <c r="D174" s="8"/>
      <c r="E174" s="8"/>
      <c r="F174" s="1"/>
      <c r="G174" s="8"/>
      <c r="H174" s="8"/>
      <c r="I174" s="1"/>
      <c r="J174" s="1"/>
      <c r="K174" s="1"/>
      <c r="L174" s="6"/>
      <c r="M174" s="6"/>
      <c r="N174" s="8"/>
    </row>
    <row r="175" spans="1:14" x14ac:dyDescent="0.2">
      <c r="A175" s="6"/>
      <c r="B175" s="7"/>
      <c r="C175" s="8"/>
      <c r="D175" s="8"/>
      <c r="E175" s="8"/>
      <c r="F175" s="1"/>
      <c r="G175" s="8"/>
      <c r="H175" s="8"/>
      <c r="I175" s="1"/>
      <c r="J175" s="1"/>
      <c r="K175" s="1"/>
      <c r="L175" s="6"/>
      <c r="M175" s="6"/>
      <c r="N175" s="8"/>
    </row>
    <row r="176" spans="1:14" x14ac:dyDescent="0.2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</row>
    <row r="177" spans="1:14" x14ac:dyDescent="0.2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3"/>
      <c r="M177" s="13"/>
      <c r="N177" s="13"/>
    </row>
    <row r="178" spans="1:14" x14ac:dyDescent="0.2">
      <c r="A178" s="6"/>
      <c r="B178" s="7"/>
      <c r="C178" s="8"/>
      <c r="D178" s="8"/>
      <c r="E178" s="8"/>
      <c r="F178" s="1"/>
      <c r="G178" s="8"/>
      <c r="H178" s="8"/>
      <c r="I178" s="1"/>
      <c r="J178" s="1"/>
      <c r="K178" s="1"/>
      <c r="L178" s="6"/>
      <c r="M178" s="6"/>
      <c r="N178" s="8"/>
    </row>
    <row r="179" spans="1:14" x14ac:dyDescent="0.2">
      <c r="A179" s="6"/>
      <c r="B179" s="7"/>
      <c r="C179" s="8"/>
      <c r="D179" s="8"/>
      <c r="E179" s="8"/>
      <c r="F179" s="1"/>
      <c r="G179" s="8"/>
      <c r="H179" s="8"/>
      <c r="I179" s="1"/>
      <c r="J179" s="1"/>
      <c r="K179" s="1"/>
      <c r="L179" s="6"/>
      <c r="M179" s="6"/>
      <c r="N179" s="8"/>
    </row>
    <row r="180" spans="1:14" x14ac:dyDescent="0.2">
      <c r="A180" s="6"/>
      <c r="B180" s="7"/>
      <c r="C180" s="8"/>
      <c r="D180" s="8"/>
      <c r="E180" s="8"/>
      <c r="F180" s="1"/>
      <c r="G180" s="8"/>
      <c r="H180" s="8"/>
      <c r="I180" s="1"/>
      <c r="J180" s="1"/>
      <c r="K180" s="1"/>
      <c r="L180" s="6"/>
      <c r="M180" s="6"/>
      <c r="N180" s="8"/>
    </row>
    <row r="181" spans="1:14" x14ac:dyDescent="0.2">
      <c r="A181" s="6"/>
      <c r="B181" s="7"/>
      <c r="C181" s="8"/>
      <c r="D181" s="8"/>
      <c r="E181" s="8"/>
      <c r="F181" s="1"/>
      <c r="G181" s="8"/>
      <c r="H181" s="8"/>
      <c r="I181" s="1"/>
      <c r="J181" s="1"/>
      <c r="K181" s="1"/>
      <c r="L181" s="6"/>
      <c r="M181" s="6"/>
      <c r="N181" s="8"/>
    </row>
    <row r="182" spans="1:14" x14ac:dyDescent="0.2">
      <c r="A182" s="6"/>
      <c r="B182" s="7"/>
      <c r="C182" s="8"/>
      <c r="D182" s="8"/>
      <c r="E182" s="8"/>
      <c r="F182" s="1"/>
      <c r="G182" s="8"/>
      <c r="H182" s="8"/>
      <c r="I182" s="1"/>
      <c r="J182" s="1"/>
      <c r="K182" s="1"/>
      <c r="L182" s="6"/>
      <c r="M182" s="6"/>
      <c r="N182" s="8"/>
    </row>
    <row r="183" spans="1:14" x14ac:dyDescent="0.2">
      <c r="A183" s="6"/>
      <c r="B183" s="7"/>
      <c r="C183" s="8"/>
      <c r="D183" s="8"/>
      <c r="E183" s="8"/>
      <c r="F183" s="1"/>
      <c r="G183" s="8"/>
      <c r="H183" s="8"/>
      <c r="I183" s="1"/>
      <c r="J183" s="1"/>
      <c r="K183" s="1"/>
      <c r="L183" s="6"/>
      <c r="M183" s="6"/>
      <c r="N183" s="8"/>
    </row>
    <row r="184" spans="1:14" x14ac:dyDescent="0.2">
      <c r="A184" s="6"/>
      <c r="B184" s="7"/>
      <c r="C184" s="8"/>
      <c r="D184" s="8"/>
      <c r="E184" s="8"/>
      <c r="F184" s="1"/>
      <c r="G184" s="11"/>
      <c r="H184" s="8"/>
      <c r="I184" s="1"/>
      <c r="J184" s="1"/>
      <c r="K184" s="1"/>
      <c r="L184" s="6"/>
      <c r="M184" s="6"/>
      <c r="N184" s="8"/>
    </row>
    <row r="185" spans="1:14" x14ac:dyDescent="0.2">
      <c r="A185" s="6"/>
      <c r="B185" s="7"/>
      <c r="C185" s="8"/>
      <c r="D185" s="8"/>
      <c r="E185" s="8"/>
      <c r="F185" s="1"/>
      <c r="G185" s="11"/>
      <c r="H185" s="8"/>
      <c r="I185" s="1"/>
      <c r="J185" s="1"/>
      <c r="K185" s="1"/>
      <c r="L185" s="6"/>
      <c r="M185" s="6"/>
      <c r="N185" s="8"/>
    </row>
    <row r="186" spans="1:14" x14ac:dyDescent="0.2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</row>
    <row r="187" spans="1:14" x14ac:dyDescent="0.2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</row>
    <row r="188" spans="1:14" x14ac:dyDescent="0.2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</row>
    <row r="189" spans="1:14" x14ac:dyDescent="0.2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</row>
    <row r="190" spans="1:14" x14ac:dyDescent="0.2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</row>
    <row r="191" spans="1:14" x14ac:dyDescent="0.2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</row>
    <row r="192" spans="1:14" x14ac:dyDescent="0.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</row>
    <row r="193" spans="1:14" x14ac:dyDescent="0.2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</row>
  </sheetData>
  <mergeCells count="233">
    <mergeCell ref="F28:F29"/>
    <mergeCell ref="I28:I29"/>
    <mergeCell ref="J28:J29"/>
    <mergeCell ref="K28:K29"/>
    <mergeCell ref="B30:B31"/>
    <mergeCell ref="F30:F31"/>
    <mergeCell ref="I30:I31"/>
    <mergeCell ref="J30:J31"/>
    <mergeCell ref="K30:K31"/>
    <mergeCell ref="F24:F25"/>
    <mergeCell ref="I24:I25"/>
    <mergeCell ref="J24:J25"/>
    <mergeCell ref="K24:K25"/>
    <mergeCell ref="B26:B27"/>
    <mergeCell ref="F26:F27"/>
    <mergeCell ref="I26:I27"/>
    <mergeCell ref="J26:J27"/>
    <mergeCell ref="K26:K27"/>
    <mergeCell ref="J12:J13"/>
    <mergeCell ref="K12:K13"/>
    <mergeCell ref="A2:A13"/>
    <mergeCell ref="L2:L13"/>
    <mergeCell ref="M2:M13"/>
    <mergeCell ref="B22:B23"/>
    <mergeCell ref="F22:F23"/>
    <mergeCell ref="I22:I23"/>
    <mergeCell ref="J22:J23"/>
    <mergeCell ref="K22:K23"/>
    <mergeCell ref="L18:L31"/>
    <mergeCell ref="M18:M31"/>
    <mergeCell ref="A18:A31"/>
    <mergeCell ref="F18:F19"/>
    <mergeCell ref="I18:I19"/>
    <mergeCell ref="B20:B21"/>
    <mergeCell ref="F20:F21"/>
    <mergeCell ref="I20:I21"/>
    <mergeCell ref="J20:J21"/>
    <mergeCell ref="K20:K21"/>
    <mergeCell ref="F4:F5"/>
    <mergeCell ref="I2:I3"/>
    <mergeCell ref="I4:I5"/>
    <mergeCell ref="B2:B3"/>
    <mergeCell ref="L47:L58"/>
    <mergeCell ref="M47:M58"/>
    <mergeCell ref="J47:J48"/>
    <mergeCell ref="K47:K48"/>
    <mergeCell ref="F47:F48"/>
    <mergeCell ref="I47:I48"/>
    <mergeCell ref="F65:F66"/>
    <mergeCell ref="K53:K54"/>
    <mergeCell ref="K55:K56"/>
    <mergeCell ref="K49:K50"/>
    <mergeCell ref="K51:K52"/>
    <mergeCell ref="F51:F52"/>
    <mergeCell ref="F53:F54"/>
    <mergeCell ref="I55:I56"/>
    <mergeCell ref="F49:F50"/>
    <mergeCell ref="F6:F7"/>
    <mergeCell ref="I6:I7"/>
    <mergeCell ref="J6:J7"/>
    <mergeCell ref="K6:K7"/>
    <mergeCell ref="B8:B9"/>
    <mergeCell ref="F8:F9"/>
    <mergeCell ref="A35:A44"/>
    <mergeCell ref="B57:B58"/>
    <mergeCell ref="B43:B44"/>
    <mergeCell ref="B47:B48"/>
    <mergeCell ref="B51:B52"/>
    <mergeCell ref="B53:B54"/>
    <mergeCell ref="B49:B50"/>
    <mergeCell ref="F57:F58"/>
    <mergeCell ref="I57:I58"/>
    <mergeCell ref="K37:K38"/>
    <mergeCell ref="B39:B40"/>
    <mergeCell ref="F39:F40"/>
    <mergeCell ref="I39:I40"/>
    <mergeCell ref="J39:J40"/>
    <mergeCell ref="K39:K40"/>
    <mergeCell ref="J57:J58"/>
    <mergeCell ref="K57:K58"/>
    <mergeCell ref="A47:A58"/>
    <mergeCell ref="A91:A96"/>
    <mergeCell ref="B91:B92"/>
    <mergeCell ref="B71:B72"/>
    <mergeCell ref="B75:B76"/>
    <mergeCell ref="B87:B88"/>
    <mergeCell ref="B93:B94"/>
    <mergeCell ref="B95:B96"/>
    <mergeCell ref="A81:A88"/>
    <mergeCell ref="B6:B7"/>
    <mergeCell ref="B65:B66"/>
    <mergeCell ref="B24:B25"/>
    <mergeCell ref="B28:B29"/>
    <mergeCell ref="J2:J3"/>
    <mergeCell ref="J4:J5"/>
    <mergeCell ref="B35:B36"/>
    <mergeCell ref="F35:F36"/>
    <mergeCell ref="I35:I36"/>
    <mergeCell ref="J35:J36"/>
    <mergeCell ref="J18:J19"/>
    <mergeCell ref="K2:K3"/>
    <mergeCell ref="K4:K5"/>
    <mergeCell ref="K18:K19"/>
    <mergeCell ref="F2:F3"/>
    <mergeCell ref="B4:B5"/>
    <mergeCell ref="B18:B19"/>
    <mergeCell ref="I8:I9"/>
    <mergeCell ref="J8:J9"/>
    <mergeCell ref="K8:K9"/>
    <mergeCell ref="B10:B11"/>
    <mergeCell ref="F10:F11"/>
    <mergeCell ref="I10:I11"/>
    <mergeCell ref="J10:J11"/>
    <mergeCell ref="K10:K11"/>
    <mergeCell ref="B12:B13"/>
    <mergeCell ref="F12:F13"/>
    <mergeCell ref="I12:I13"/>
    <mergeCell ref="B55:B56"/>
    <mergeCell ref="J51:J52"/>
    <mergeCell ref="J53:J54"/>
    <mergeCell ref="J55:J56"/>
    <mergeCell ref="I51:I52"/>
    <mergeCell ref="I53:I54"/>
    <mergeCell ref="F43:F44"/>
    <mergeCell ref="I43:I44"/>
    <mergeCell ref="J43:J44"/>
    <mergeCell ref="L35:L44"/>
    <mergeCell ref="M35:M44"/>
    <mergeCell ref="B61:B62"/>
    <mergeCell ref="F61:F62"/>
    <mergeCell ref="I61:I62"/>
    <mergeCell ref="J61:J62"/>
    <mergeCell ref="K61:K62"/>
    <mergeCell ref="B63:B64"/>
    <mergeCell ref="F63:F64"/>
    <mergeCell ref="I63:I64"/>
    <mergeCell ref="J63:J64"/>
    <mergeCell ref="K63:K64"/>
    <mergeCell ref="J41:J42"/>
    <mergeCell ref="K41:K42"/>
    <mergeCell ref="K35:K36"/>
    <mergeCell ref="B37:B38"/>
    <mergeCell ref="F37:F38"/>
    <mergeCell ref="I37:I38"/>
    <mergeCell ref="B41:B42"/>
    <mergeCell ref="F41:F42"/>
    <mergeCell ref="I41:I42"/>
    <mergeCell ref="I49:I50"/>
    <mergeCell ref="J49:J50"/>
    <mergeCell ref="F55:F56"/>
    <mergeCell ref="J37:J38"/>
    <mergeCell ref="B85:B86"/>
    <mergeCell ref="F85:F86"/>
    <mergeCell ref="I85:I86"/>
    <mergeCell ref="J85:J86"/>
    <mergeCell ref="K85:K86"/>
    <mergeCell ref="F83:F84"/>
    <mergeCell ref="F71:F72"/>
    <mergeCell ref="I71:I72"/>
    <mergeCell ref="J71:J72"/>
    <mergeCell ref="K71:K72"/>
    <mergeCell ref="B73:B74"/>
    <mergeCell ref="F73:F74"/>
    <mergeCell ref="I73:I74"/>
    <mergeCell ref="J73:J74"/>
    <mergeCell ref="K73:K74"/>
    <mergeCell ref="B83:B84"/>
    <mergeCell ref="F81:F82"/>
    <mergeCell ref="I81:I82"/>
    <mergeCell ref="J81:J82"/>
    <mergeCell ref="K81:K82"/>
    <mergeCell ref="I83:I84"/>
    <mergeCell ref="K43:K44"/>
    <mergeCell ref="K65:K66"/>
    <mergeCell ref="J95:J96"/>
    <mergeCell ref="K95:K96"/>
    <mergeCell ref="L91:L96"/>
    <mergeCell ref="M91:M96"/>
    <mergeCell ref="F93:F94"/>
    <mergeCell ref="I93:I94"/>
    <mergeCell ref="J93:J94"/>
    <mergeCell ref="K93:K94"/>
    <mergeCell ref="J83:J84"/>
    <mergeCell ref="K83:K84"/>
    <mergeCell ref="F91:F92"/>
    <mergeCell ref="I91:I92"/>
    <mergeCell ref="J91:J92"/>
    <mergeCell ref="K91:K92"/>
    <mergeCell ref="L81:L88"/>
    <mergeCell ref="M81:M88"/>
    <mergeCell ref="F87:F88"/>
    <mergeCell ref="I87:I88"/>
    <mergeCell ref="J87:J88"/>
    <mergeCell ref="K87:K88"/>
    <mergeCell ref="J67:J68"/>
    <mergeCell ref="K67:K68"/>
    <mergeCell ref="A61:A68"/>
    <mergeCell ref="L61:L68"/>
    <mergeCell ref="M61:M68"/>
    <mergeCell ref="B77:B78"/>
    <mergeCell ref="F77:F78"/>
    <mergeCell ref="I77:I78"/>
    <mergeCell ref="J77:J78"/>
    <mergeCell ref="K77:K78"/>
    <mergeCell ref="A71:A78"/>
    <mergeCell ref="L71:L78"/>
    <mergeCell ref="M71:M78"/>
    <mergeCell ref="F75:F76"/>
    <mergeCell ref="I75:I76"/>
    <mergeCell ref="J75:J76"/>
    <mergeCell ref="K75:K76"/>
    <mergeCell ref="I65:I66"/>
    <mergeCell ref="J65:J66"/>
    <mergeCell ref="C112:D112"/>
    <mergeCell ref="C113:D113"/>
    <mergeCell ref="C114:D114"/>
    <mergeCell ref="C106:D106"/>
    <mergeCell ref="C107:D107"/>
    <mergeCell ref="C108:D108"/>
    <mergeCell ref="B67:B68"/>
    <mergeCell ref="F67:F68"/>
    <mergeCell ref="I67:I68"/>
    <mergeCell ref="F95:F96"/>
    <mergeCell ref="I95:I96"/>
    <mergeCell ref="B81:B82"/>
    <mergeCell ref="C101:D101"/>
    <mergeCell ref="C102:D102"/>
    <mergeCell ref="C103:D103"/>
    <mergeCell ref="C104:D104"/>
    <mergeCell ref="C105:D105"/>
    <mergeCell ref="C109:D109"/>
    <mergeCell ref="C111:D111"/>
    <mergeCell ref="C110:D110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Kimble</cp:lastModifiedBy>
  <dcterms:created xsi:type="dcterms:W3CDTF">2022-10-24T14:03:41Z</dcterms:created>
  <dcterms:modified xsi:type="dcterms:W3CDTF">2023-06-12T14:30:42Z</dcterms:modified>
</cp:coreProperties>
</file>